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Abteilung 5\Ref55\07 eAbwasser\Anwendung\Vorlagen\"/>
    </mc:Choice>
  </mc:AlternateContent>
  <bookViews>
    <workbookView xWindow="0" yWindow="0" windowWidth="25320" windowHeight="13125" tabRatio="828" firstSheet="1" activeTab="1"/>
  </bookViews>
  <sheets>
    <sheet name="MST Listen" sheetId="35613" state="veryHidden" r:id="rId1"/>
    <sheet name="JSM Qd aus Monatspalte" sheetId="35615" r:id="rId2"/>
    <sheet name="JSM Eingabe+TW" sheetId="35569" r:id="rId3"/>
    <sheet name="JSM Dichtemittel " sheetId="35574" r:id="rId4"/>
    <sheet name="JSM GM A198" sheetId="35600" r:id="rId5"/>
    <sheet name="JSM Jahresdauerlinie" sheetId="35572" r:id="rId6"/>
    <sheet name="JSM FW Dreieck" sheetId="35601" r:id="rId7"/>
    <sheet name="JSM Fremdwasser" sheetId="35571" r:id="rId8"/>
    <sheet name="JSM Ergebnis" sheetId="35581" r:id="rId9"/>
  </sheets>
  <definedNames>
    <definedName name="_xlnm.Print_Area" localSheetId="3">'JSM Dichtemittel '!$B$2:$R$50</definedName>
    <definedName name="_xlnm.Print_Area" localSheetId="2">'JSM Eingabe+TW'!$A$1:$AB$74</definedName>
    <definedName name="_xlnm.Print_Area" localSheetId="8">'JSM Ergebnis'!$B$2:$U$56</definedName>
    <definedName name="_xlnm.Print_Area" localSheetId="7">'JSM Fremdwasser'!$B$1:$P$48</definedName>
    <definedName name="_xlnm.Print_Area" localSheetId="6">'JSM FW Dreieck'!$B$1:$Q$37</definedName>
    <definedName name="_xlnm.Print_Area" localSheetId="4">'JSM GM A198'!$A$2:$O$49</definedName>
    <definedName name="_xlnm.Print_Area" localSheetId="5">'JSM Jahresdauerlinie'!$A$1:$R$41</definedName>
    <definedName name="_xlnm.Print_Area" localSheetId="1">'JSM Qd aus Monatspalte'!$A$1:$J$370</definedName>
    <definedName name="_xlnm.Print_Titles" localSheetId="1">'JSM Qd aus Monatspalte'!$1:$3</definedName>
    <definedName name="q">'JSM Fremdwasser'!$E$19</definedName>
    <definedName name="q__gewählt">'JSM Fremdwasser'!$E$19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40" i="35615" l="1"/>
  <c r="E340" i="35615"/>
  <c r="D341" i="35615"/>
  <c r="E341" i="35615"/>
  <c r="D342" i="35615"/>
  <c r="E342" i="35615"/>
  <c r="D343" i="35615"/>
  <c r="E343" i="35615"/>
  <c r="D344" i="35615"/>
  <c r="E344" i="35615"/>
  <c r="D345" i="35615"/>
  <c r="E345" i="35615"/>
  <c r="D346" i="35615"/>
  <c r="E346" i="35615"/>
  <c r="D347" i="35615"/>
  <c r="E347" i="35615"/>
  <c r="D348" i="35615"/>
  <c r="E348" i="35615"/>
  <c r="D349" i="35615"/>
  <c r="E349" i="35615"/>
  <c r="D350" i="35615"/>
  <c r="E350" i="35615"/>
  <c r="D351" i="35615"/>
  <c r="E351" i="35615"/>
  <c r="D352" i="35615"/>
  <c r="E352" i="35615"/>
  <c r="D353" i="35615"/>
  <c r="E353" i="35615"/>
  <c r="D354" i="35615"/>
  <c r="E354" i="35615"/>
  <c r="D355" i="35615"/>
  <c r="E355" i="35615"/>
  <c r="D356" i="35615"/>
  <c r="E356" i="35615"/>
  <c r="D357" i="35615"/>
  <c r="E357" i="35615"/>
  <c r="D358" i="35615"/>
  <c r="E358" i="35615"/>
  <c r="D359" i="35615"/>
  <c r="E359" i="35615"/>
  <c r="D360" i="35615"/>
  <c r="E360" i="35615"/>
  <c r="D361" i="35615"/>
  <c r="E361" i="35615"/>
  <c r="D362" i="35615"/>
  <c r="E362" i="35615"/>
  <c r="D363" i="35615"/>
  <c r="E363" i="35615"/>
  <c r="D364" i="35615"/>
  <c r="E364" i="35615"/>
  <c r="D365" i="35615"/>
  <c r="E365" i="35615"/>
  <c r="D366" i="35615"/>
  <c r="E366" i="35615"/>
  <c r="D367" i="35615"/>
  <c r="E367" i="35615"/>
  <c r="D368" i="35615"/>
  <c r="E368" i="35615"/>
  <c r="D369" i="35615"/>
  <c r="E369" i="35615"/>
  <c r="E339" i="35615"/>
  <c r="D339" i="35615"/>
  <c r="D310" i="35615"/>
  <c r="E310" i="35615"/>
  <c r="D311" i="35615"/>
  <c r="E311" i="35615"/>
  <c r="D312" i="35615"/>
  <c r="E312" i="35615"/>
  <c r="D313" i="35615"/>
  <c r="E313" i="35615"/>
  <c r="D314" i="35615"/>
  <c r="E314" i="35615"/>
  <c r="D315" i="35615"/>
  <c r="E315" i="35615"/>
  <c r="D316" i="35615"/>
  <c r="E316" i="35615"/>
  <c r="D317" i="35615"/>
  <c r="E317" i="35615"/>
  <c r="D318" i="35615"/>
  <c r="E318" i="35615"/>
  <c r="D319" i="35615"/>
  <c r="E319" i="35615"/>
  <c r="D320" i="35615"/>
  <c r="E320" i="35615"/>
  <c r="D321" i="35615"/>
  <c r="E321" i="35615"/>
  <c r="D322" i="35615"/>
  <c r="E322" i="35615"/>
  <c r="D323" i="35615"/>
  <c r="E323" i="35615"/>
  <c r="D324" i="35615"/>
  <c r="E324" i="35615"/>
  <c r="D325" i="35615"/>
  <c r="E325" i="35615"/>
  <c r="D326" i="35615"/>
  <c r="E326" i="35615"/>
  <c r="D327" i="35615"/>
  <c r="E327" i="35615"/>
  <c r="D328" i="35615"/>
  <c r="E328" i="35615"/>
  <c r="D329" i="35615"/>
  <c r="E329" i="35615"/>
  <c r="D330" i="35615"/>
  <c r="E330" i="35615"/>
  <c r="D331" i="35615"/>
  <c r="E331" i="35615"/>
  <c r="D332" i="35615"/>
  <c r="E332" i="35615"/>
  <c r="D333" i="35615"/>
  <c r="E333" i="35615"/>
  <c r="D334" i="35615"/>
  <c r="E334" i="35615"/>
  <c r="D335" i="35615"/>
  <c r="E335" i="35615"/>
  <c r="D336" i="35615"/>
  <c r="E336" i="35615"/>
  <c r="D337" i="35615"/>
  <c r="E337" i="35615"/>
  <c r="D338" i="35615"/>
  <c r="E338" i="35615"/>
  <c r="E309" i="35615"/>
  <c r="D309" i="35615"/>
  <c r="D279" i="35615"/>
  <c r="E279" i="35615"/>
  <c r="D280" i="35615"/>
  <c r="E280" i="35615"/>
  <c r="D281" i="35615"/>
  <c r="E281" i="35615"/>
  <c r="D282" i="35615"/>
  <c r="E282" i="35615"/>
  <c r="D283" i="35615"/>
  <c r="E283" i="35615"/>
  <c r="D284" i="35615"/>
  <c r="E284" i="35615"/>
  <c r="D285" i="35615"/>
  <c r="E285" i="35615"/>
  <c r="D286" i="35615"/>
  <c r="E286" i="35615"/>
  <c r="D287" i="35615"/>
  <c r="E287" i="35615"/>
  <c r="D288" i="35615"/>
  <c r="E288" i="35615"/>
  <c r="D289" i="35615"/>
  <c r="E289" i="35615"/>
  <c r="D290" i="35615"/>
  <c r="E290" i="35615"/>
  <c r="D291" i="35615"/>
  <c r="E291" i="35615"/>
  <c r="D292" i="35615"/>
  <c r="E292" i="35615"/>
  <c r="D293" i="35615"/>
  <c r="E293" i="35615"/>
  <c r="D294" i="35615"/>
  <c r="E294" i="35615"/>
  <c r="D295" i="35615"/>
  <c r="E295" i="35615"/>
  <c r="D296" i="35615"/>
  <c r="E296" i="35615"/>
  <c r="D297" i="35615"/>
  <c r="E297" i="35615"/>
  <c r="D298" i="35615"/>
  <c r="E298" i="35615"/>
  <c r="D299" i="35615"/>
  <c r="E299" i="35615"/>
  <c r="D300" i="35615"/>
  <c r="E300" i="35615"/>
  <c r="D301" i="35615"/>
  <c r="E301" i="35615"/>
  <c r="D302" i="35615"/>
  <c r="E302" i="35615"/>
  <c r="D303" i="35615"/>
  <c r="E303" i="35615"/>
  <c r="D304" i="35615"/>
  <c r="E304" i="35615"/>
  <c r="D305" i="35615"/>
  <c r="E305" i="35615"/>
  <c r="D306" i="35615"/>
  <c r="E306" i="35615"/>
  <c r="D307" i="35615"/>
  <c r="E307" i="35615"/>
  <c r="D308" i="35615"/>
  <c r="E308" i="35615"/>
  <c r="E278" i="35615"/>
  <c r="D278" i="35615"/>
  <c r="D249" i="35615"/>
  <c r="E249" i="35615"/>
  <c r="D250" i="35615"/>
  <c r="E250" i="35615"/>
  <c r="D251" i="35615"/>
  <c r="E251" i="35615"/>
  <c r="D252" i="35615"/>
  <c r="E252" i="35615"/>
  <c r="D253" i="35615"/>
  <c r="E253" i="35615"/>
  <c r="D254" i="35615"/>
  <c r="E254" i="35615"/>
  <c r="D255" i="35615"/>
  <c r="E255" i="35615"/>
  <c r="D256" i="35615"/>
  <c r="E256" i="35615"/>
  <c r="D257" i="35615"/>
  <c r="E257" i="35615"/>
  <c r="D258" i="35615"/>
  <c r="E258" i="35615"/>
  <c r="D259" i="35615"/>
  <c r="E259" i="35615"/>
  <c r="D260" i="35615"/>
  <c r="E260" i="35615"/>
  <c r="D261" i="35615"/>
  <c r="E261" i="35615"/>
  <c r="D262" i="35615"/>
  <c r="E262" i="35615"/>
  <c r="D263" i="35615"/>
  <c r="E263" i="35615"/>
  <c r="D264" i="35615"/>
  <c r="E264" i="35615"/>
  <c r="D265" i="35615"/>
  <c r="E265" i="35615"/>
  <c r="D266" i="35615"/>
  <c r="E266" i="35615"/>
  <c r="D267" i="35615"/>
  <c r="E267" i="35615"/>
  <c r="D268" i="35615"/>
  <c r="E268" i="35615"/>
  <c r="D269" i="35615"/>
  <c r="E269" i="35615"/>
  <c r="D270" i="35615"/>
  <c r="E270" i="35615"/>
  <c r="D271" i="35615"/>
  <c r="E271" i="35615"/>
  <c r="D272" i="35615"/>
  <c r="E272" i="35615"/>
  <c r="D273" i="35615"/>
  <c r="E273" i="35615"/>
  <c r="D274" i="35615"/>
  <c r="E274" i="35615"/>
  <c r="D275" i="35615"/>
  <c r="E275" i="35615"/>
  <c r="D276" i="35615"/>
  <c r="E276" i="35615"/>
  <c r="D277" i="35615"/>
  <c r="E277" i="35615"/>
  <c r="E248" i="35615"/>
  <c r="D248" i="35615"/>
  <c r="D218" i="35615"/>
  <c r="E218" i="35615"/>
  <c r="D219" i="35615"/>
  <c r="E219" i="35615"/>
  <c r="D220" i="35615"/>
  <c r="E220" i="35615"/>
  <c r="D221" i="35615"/>
  <c r="E221" i="35615"/>
  <c r="D222" i="35615"/>
  <c r="E222" i="35615"/>
  <c r="D223" i="35615"/>
  <c r="E223" i="35615"/>
  <c r="D224" i="35615"/>
  <c r="E224" i="35615"/>
  <c r="D225" i="35615"/>
  <c r="E225" i="35615"/>
  <c r="D226" i="35615"/>
  <c r="E226" i="35615"/>
  <c r="D227" i="35615"/>
  <c r="E227" i="35615"/>
  <c r="D228" i="35615"/>
  <c r="E228" i="35615"/>
  <c r="D229" i="35615"/>
  <c r="E229" i="35615"/>
  <c r="D230" i="35615"/>
  <c r="E230" i="35615"/>
  <c r="D231" i="35615"/>
  <c r="E231" i="35615"/>
  <c r="D232" i="35615"/>
  <c r="E232" i="35615"/>
  <c r="D233" i="35615"/>
  <c r="E233" i="35615"/>
  <c r="D234" i="35615"/>
  <c r="E234" i="35615"/>
  <c r="D235" i="35615"/>
  <c r="E235" i="35615"/>
  <c r="D236" i="35615"/>
  <c r="E236" i="35615"/>
  <c r="D237" i="35615"/>
  <c r="E237" i="35615"/>
  <c r="D238" i="35615"/>
  <c r="E238" i="35615"/>
  <c r="D239" i="35615"/>
  <c r="E239" i="35615"/>
  <c r="D240" i="35615"/>
  <c r="E240" i="35615"/>
  <c r="D241" i="35615"/>
  <c r="E241" i="35615"/>
  <c r="D242" i="35615"/>
  <c r="E242" i="35615"/>
  <c r="D243" i="35615"/>
  <c r="E243" i="35615"/>
  <c r="D244" i="35615"/>
  <c r="E244" i="35615"/>
  <c r="D245" i="35615"/>
  <c r="E245" i="35615"/>
  <c r="D246" i="35615"/>
  <c r="E246" i="35615"/>
  <c r="D247" i="35615"/>
  <c r="E247" i="35615"/>
  <c r="E217" i="35615"/>
  <c r="D217" i="35615"/>
  <c r="D187" i="35615" l="1"/>
  <c r="E187" i="35615"/>
  <c r="D188" i="35615"/>
  <c r="E188" i="35615"/>
  <c r="D189" i="35615"/>
  <c r="E189" i="35615"/>
  <c r="D190" i="35615"/>
  <c r="E190" i="35615"/>
  <c r="D191" i="35615"/>
  <c r="E191" i="35615"/>
  <c r="D192" i="35615"/>
  <c r="E192" i="35615"/>
  <c r="D193" i="35615"/>
  <c r="E193" i="35615"/>
  <c r="D194" i="35615"/>
  <c r="E194" i="35615"/>
  <c r="D195" i="35615"/>
  <c r="E195" i="35615"/>
  <c r="D196" i="35615"/>
  <c r="E196" i="35615"/>
  <c r="D197" i="35615"/>
  <c r="E197" i="35615"/>
  <c r="D198" i="35615"/>
  <c r="E198" i="35615"/>
  <c r="D199" i="35615"/>
  <c r="E199" i="35615"/>
  <c r="D200" i="35615"/>
  <c r="E200" i="35615"/>
  <c r="D201" i="35615"/>
  <c r="E201" i="35615"/>
  <c r="D202" i="35615"/>
  <c r="E202" i="35615"/>
  <c r="D203" i="35615"/>
  <c r="E203" i="35615"/>
  <c r="D204" i="35615"/>
  <c r="E204" i="35615"/>
  <c r="D205" i="35615"/>
  <c r="E205" i="35615"/>
  <c r="D206" i="35615"/>
  <c r="E206" i="35615"/>
  <c r="D207" i="35615"/>
  <c r="E207" i="35615"/>
  <c r="D208" i="35615"/>
  <c r="E208" i="35615"/>
  <c r="D209" i="35615"/>
  <c r="E209" i="35615"/>
  <c r="D210" i="35615"/>
  <c r="E210" i="35615"/>
  <c r="D211" i="35615"/>
  <c r="E211" i="35615"/>
  <c r="D212" i="35615"/>
  <c r="E212" i="35615"/>
  <c r="D213" i="35615"/>
  <c r="E213" i="35615"/>
  <c r="D214" i="35615"/>
  <c r="E214" i="35615"/>
  <c r="D215" i="35615"/>
  <c r="E215" i="35615"/>
  <c r="D216" i="35615"/>
  <c r="E216" i="35615"/>
  <c r="E186" i="35615"/>
  <c r="E185" i="35615"/>
  <c r="D186" i="35615"/>
  <c r="D157" i="35615"/>
  <c r="E157" i="35615"/>
  <c r="D158" i="35615"/>
  <c r="E158" i="35615"/>
  <c r="D159" i="35615"/>
  <c r="E159" i="35615"/>
  <c r="D160" i="35615"/>
  <c r="E160" i="35615"/>
  <c r="D161" i="35615"/>
  <c r="E161" i="35615"/>
  <c r="D162" i="35615"/>
  <c r="E162" i="35615"/>
  <c r="D163" i="35615"/>
  <c r="E163" i="35615"/>
  <c r="D164" i="35615"/>
  <c r="E164" i="35615"/>
  <c r="D165" i="35615"/>
  <c r="E165" i="35615"/>
  <c r="D166" i="35615"/>
  <c r="E166" i="35615"/>
  <c r="D167" i="35615"/>
  <c r="E167" i="35615"/>
  <c r="D168" i="35615"/>
  <c r="E168" i="35615"/>
  <c r="D169" i="35615"/>
  <c r="E169" i="35615"/>
  <c r="D170" i="35615"/>
  <c r="E170" i="35615"/>
  <c r="D171" i="35615"/>
  <c r="E171" i="35615"/>
  <c r="D172" i="35615"/>
  <c r="E172" i="35615"/>
  <c r="D173" i="35615"/>
  <c r="E173" i="35615"/>
  <c r="D174" i="35615"/>
  <c r="E174" i="35615"/>
  <c r="D175" i="35615"/>
  <c r="E175" i="35615"/>
  <c r="D176" i="35615"/>
  <c r="E176" i="35615"/>
  <c r="D177" i="35615"/>
  <c r="E177" i="35615"/>
  <c r="D178" i="35615"/>
  <c r="E178" i="35615"/>
  <c r="D179" i="35615"/>
  <c r="E179" i="35615"/>
  <c r="D180" i="35615"/>
  <c r="E180" i="35615"/>
  <c r="D181" i="35615"/>
  <c r="E181" i="35615"/>
  <c r="D182" i="35615"/>
  <c r="E182" i="35615"/>
  <c r="D183" i="35615"/>
  <c r="E183" i="35615"/>
  <c r="D184" i="35615"/>
  <c r="E184" i="35615"/>
  <c r="D185" i="35615"/>
  <c r="E156" i="35615"/>
  <c r="D156" i="35615"/>
  <c r="D126" i="35615"/>
  <c r="E126" i="35615"/>
  <c r="D127" i="35615"/>
  <c r="E127" i="35615"/>
  <c r="D128" i="35615"/>
  <c r="E128" i="35615"/>
  <c r="D129" i="35615"/>
  <c r="E129" i="35615"/>
  <c r="D130" i="35615"/>
  <c r="E130" i="35615"/>
  <c r="D131" i="35615"/>
  <c r="E131" i="35615"/>
  <c r="D132" i="35615"/>
  <c r="E132" i="35615"/>
  <c r="D133" i="35615"/>
  <c r="E133" i="35615"/>
  <c r="D134" i="35615"/>
  <c r="E134" i="35615"/>
  <c r="D135" i="35615"/>
  <c r="E135" i="35615"/>
  <c r="D136" i="35615"/>
  <c r="E136" i="35615"/>
  <c r="D137" i="35615"/>
  <c r="E137" i="35615"/>
  <c r="D138" i="35615"/>
  <c r="E138" i="35615"/>
  <c r="D139" i="35615"/>
  <c r="E139" i="35615"/>
  <c r="D140" i="35615"/>
  <c r="E140" i="35615"/>
  <c r="D141" i="35615"/>
  <c r="E141" i="35615"/>
  <c r="D142" i="35615"/>
  <c r="E142" i="35615"/>
  <c r="D143" i="35615"/>
  <c r="E143" i="35615"/>
  <c r="D144" i="35615"/>
  <c r="E144" i="35615"/>
  <c r="D145" i="35615"/>
  <c r="E145" i="35615"/>
  <c r="D146" i="35615"/>
  <c r="E146" i="35615"/>
  <c r="D147" i="35615"/>
  <c r="E147" i="35615"/>
  <c r="D148" i="35615"/>
  <c r="E148" i="35615"/>
  <c r="D149" i="35615"/>
  <c r="E149" i="35615"/>
  <c r="D150" i="35615"/>
  <c r="E150" i="35615"/>
  <c r="D151" i="35615"/>
  <c r="E151" i="35615"/>
  <c r="D152" i="35615"/>
  <c r="E152" i="35615"/>
  <c r="D153" i="35615"/>
  <c r="E153" i="35615"/>
  <c r="D154" i="35615"/>
  <c r="E154" i="35615"/>
  <c r="D155" i="35615"/>
  <c r="E155" i="35615"/>
  <c r="E125" i="35615"/>
  <c r="D125" i="35615"/>
  <c r="D96" i="35615"/>
  <c r="E96" i="35615"/>
  <c r="D97" i="35615"/>
  <c r="E97" i="35615"/>
  <c r="D98" i="35615"/>
  <c r="E98" i="35615"/>
  <c r="D99" i="35615"/>
  <c r="E99" i="35615"/>
  <c r="D100" i="35615"/>
  <c r="E100" i="35615"/>
  <c r="D101" i="35615"/>
  <c r="E101" i="35615"/>
  <c r="D102" i="35615"/>
  <c r="E102" i="35615"/>
  <c r="D103" i="35615"/>
  <c r="E103" i="35615"/>
  <c r="D104" i="35615"/>
  <c r="E104" i="35615"/>
  <c r="D105" i="35615"/>
  <c r="E105" i="35615"/>
  <c r="D106" i="35615"/>
  <c r="E106" i="35615"/>
  <c r="D107" i="35615"/>
  <c r="E107" i="35615"/>
  <c r="D108" i="35615"/>
  <c r="E108" i="35615"/>
  <c r="D109" i="35615"/>
  <c r="E109" i="35615"/>
  <c r="D110" i="35615"/>
  <c r="E110" i="35615"/>
  <c r="D111" i="35615"/>
  <c r="E111" i="35615"/>
  <c r="D112" i="35615"/>
  <c r="E112" i="35615"/>
  <c r="D113" i="35615"/>
  <c r="E113" i="35615"/>
  <c r="D114" i="35615"/>
  <c r="E114" i="35615"/>
  <c r="D115" i="35615"/>
  <c r="E115" i="35615"/>
  <c r="D116" i="35615"/>
  <c r="E116" i="35615"/>
  <c r="D117" i="35615"/>
  <c r="E117" i="35615"/>
  <c r="D118" i="35615"/>
  <c r="E118" i="35615"/>
  <c r="D119" i="35615"/>
  <c r="E119" i="35615"/>
  <c r="D120" i="35615"/>
  <c r="E120" i="35615"/>
  <c r="D121" i="35615"/>
  <c r="E121" i="35615"/>
  <c r="D122" i="35615"/>
  <c r="E122" i="35615"/>
  <c r="D123" i="35615"/>
  <c r="E123" i="35615"/>
  <c r="D124" i="35615"/>
  <c r="E124" i="35615"/>
  <c r="E95" i="35615"/>
  <c r="D95" i="35615"/>
  <c r="D65" i="35615"/>
  <c r="E65" i="35615"/>
  <c r="D66" i="35615"/>
  <c r="E66" i="35615"/>
  <c r="D67" i="35615"/>
  <c r="E67" i="35615"/>
  <c r="D68" i="35615"/>
  <c r="E68" i="35615"/>
  <c r="D69" i="35615"/>
  <c r="E69" i="35615"/>
  <c r="D70" i="35615"/>
  <c r="E70" i="35615"/>
  <c r="D71" i="35615"/>
  <c r="E71" i="35615"/>
  <c r="D72" i="35615"/>
  <c r="E72" i="35615"/>
  <c r="D73" i="35615"/>
  <c r="E73" i="35615"/>
  <c r="D74" i="35615"/>
  <c r="E74" i="35615"/>
  <c r="D75" i="35615"/>
  <c r="E75" i="35615"/>
  <c r="D76" i="35615"/>
  <c r="E76" i="35615"/>
  <c r="D77" i="35615"/>
  <c r="E77" i="35615"/>
  <c r="D78" i="35615"/>
  <c r="E78" i="35615"/>
  <c r="D79" i="35615"/>
  <c r="E79" i="35615"/>
  <c r="D80" i="35615"/>
  <c r="E80" i="35615"/>
  <c r="D81" i="35615"/>
  <c r="E81" i="35615"/>
  <c r="D82" i="35615"/>
  <c r="E82" i="35615"/>
  <c r="D83" i="35615"/>
  <c r="E83" i="35615"/>
  <c r="D84" i="35615"/>
  <c r="E84" i="35615"/>
  <c r="D85" i="35615"/>
  <c r="E85" i="35615"/>
  <c r="D86" i="35615"/>
  <c r="E86" i="35615"/>
  <c r="D87" i="35615"/>
  <c r="E87" i="35615"/>
  <c r="D88" i="35615"/>
  <c r="E88" i="35615"/>
  <c r="D89" i="35615"/>
  <c r="E89" i="35615"/>
  <c r="D90" i="35615"/>
  <c r="E90" i="35615"/>
  <c r="D91" i="35615"/>
  <c r="E91" i="35615"/>
  <c r="D92" i="35615"/>
  <c r="E92" i="35615"/>
  <c r="D93" i="35615"/>
  <c r="E93" i="35615"/>
  <c r="D94" i="35615"/>
  <c r="E94" i="35615"/>
  <c r="E64" i="35615"/>
  <c r="D64" i="35615"/>
  <c r="E36" i="35615"/>
  <c r="E37" i="35615"/>
  <c r="E38" i="35615"/>
  <c r="E39" i="35615"/>
  <c r="E40" i="35615"/>
  <c r="E41" i="35615"/>
  <c r="E42" i="35615"/>
  <c r="E43" i="35615"/>
  <c r="E44" i="35615"/>
  <c r="E45" i="35615"/>
  <c r="E46" i="35615"/>
  <c r="E47" i="35615"/>
  <c r="E48" i="35615"/>
  <c r="E49" i="35615"/>
  <c r="E50" i="35615"/>
  <c r="E51" i="35615"/>
  <c r="E52" i="35615"/>
  <c r="E53" i="35615"/>
  <c r="E54" i="35615"/>
  <c r="E55" i="35615"/>
  <c r="E56" i="35615"/>
  <c r="E57" i="35615"/>
  <c r="E58" i="35615"/>
  <c r="E59" i="35615"/>
  <c r="E60" i="35615"/>
  <c r="E61" i="35615"/>
  <c r="E62" i="35615"/>
  <c r="E63" i="35615"/>
  <c r="E35" i="35615"/>
  <c r="D36" i="35615"/>
  <c r="D37" i="35615"/>
  <c r="D38" i="35615"/>
  <c r="D39" i="35615"/>
  <c r="D40" i="35615"/>
  <c r="D41" i="35615"/>
  <c r="D42" i="35615"/>
  <c r="D43" i="35615"/>
  <c r="D44" i="35615"/>
  <c r="D45" i="35615"/>
  <c r="D46" i="35615"/>
  <c r="D47" i="35615"/>
  <c r="D48" i="35615"/>
  <c r="D49" i="35615"/>
  <c r="D50" i="35615"/>
  <c r="D51" i="35615"/>
  <c r="D52" i="35615"/>
  <c r="D53" i="35615"/>
  <c r="D54" i="35615"/>
  <c r="D55" i="35615"/>
  <c r="D56" i="35615"/>
  <c r="D57" i="35615"/>
  <c r="D58" i="35615"/>
  <c r="D59" i="35615"/>
  <c r="D60" i="35615"/>
  <c r="D61" i="35615"/>
  <c r="D62" i="35615"/>
  <c r="D63" i="35615"/>
  <c r="D35" i="35615"/>
  <c r="E5" i="35615"/>
  <c r="E6" i="35615"/>
  <c r="E7" i="35615"/>
  <c r="E8" i="35615"/>
  <c r="E9" i="35615"/>
  <c r="E10" i="35615"/>
  <c r="E11" i="35615"/>
  <c r="E12" i="35615"/>
  <c r="E13" i="35615"/>
  <c r="E14" i="35615"/>
  <c r="E15" i="35615"/>
  <c r="E16" i="35615"/>
  <c r="E17" i="35615"/>
  <c r="E18" i="35615"/>
  <c r="E19" i="35615"/>
  <c r="E20" i="35615"/>
  <c r="E21" i="35615"/>
  <c r="E22" i="35615"/>
  <c r="E23" i="35615"/>
  <c r="E24" i="35615"/>
  <c r="E25" i="35615"/>
  <c r="E26" i="35615"/>
  <c r="E27" i="35615"/>
  <c r="E28" i="35615"/>
  <c r="E29" i="35615"/>
  <c r="E30" i="35615"/>
  <c r="E31" i="35615"/>
  <c r="E32" i="35615"/>
  <c r="E33" i="35615"/>
  <c r="E34" i="35615"/>
  <c r="E4" i="35615"/>
  <c r="D5" i="35615"/>
  <c r="D6" i="35615"/>
  <c r="D7" i="35615"/>
  <c r="D8" i="35615"/>
  <c r="D9" i="35615"/>
  <c r="D10" i="35615"/>
  <c r="D11" i="35615"/>
  <c r="D12" i="35615"/>
  <c r="D13" i="35615"/>
  <c r="D14" i="35615"/>
  <c r="D15" i="35615"/>
  <c r="D16" i="35615"/>
  <c r="D17" i="35615"/>
  <c r="D18" i="35615"/>
  <c r="D19" i="35615"/>
  <c r="D20" i="35615"/>
  <c r="D21" i="35615"/>
  <c r="D22" i="35615"/>
  <c r="D23" i="35615"/>
  <c r="D24" i="35615"/>
  <c r="D25" i="35615"/>
  <c r="D26" i="35615"/>
  <c r="D27" i="35615"/>
  <c r="D28" i="35615"/>
  <c r="D29" i="35615"/>
  <c r="D30" i="35615"/>
  <c r="D31" i="35615"/>
  <c r="D32" i="35615"/>
  <c r="D33" i="35615"/>
  <c r="D34" i="35615"/>
  <c r="D4" i="35615"/>
  <c r="C339" i="35615"/>
  <c r="C340" i="35615"/>
  <c r="C341" i="35615"/>
  <c r="C342" i="35615"/>
  <c r="C343" i="35615"/>
  <c r="C344" i="35615"/>
  <c r="C345" i="35615"/>
  <c r="C346" i="35615"/>
  <c r="C347" i="35615"/>
  <c r="C348" i="35615"/>
  <c r="C349" i="35615"/>
  <c r="C350" i="35615"/>
  <c r="C351" i="35615"/>
  <c r="C352" i="35615"/>
  <c r="C353" i="35615"/>
  <c r="C354" i="35615"/>
  <c r="C355" i="35615"/>
  <c r="C356" i="35615"/>
  <c r="C357" i="35615"/>
  <c r="C358" i="35615"/>
  <c r="C359" i="35615"/>
  <c r="C360" i="35615"/>
  <c r="C361" i="35615"/>
  <c r="C362" i="35615"/>
  <c r="C363" i="35615"/>
  <c r="C364" i="35615"/>
  <c r="C365" i="35615"/>
  <c r="C366" i="35615"/>
  <c r="C367" i="35615"/>
  <c r="C368" i="35615"/>
  <c r="C369" i="35615"/>
  <c r="C309" i="35615"/>
  <c r="C310" i="35615"/>
  <c r="C311" i="35615"/>
  <c r="C312" i="35615"/>
  <c r="C313" i="35615"/>
  <c r="C314" i="35615"/>
  <c r="C315" i="35615"/>
  <c r="C316" i="35615"/>
  <c r="C317" i="35615"/>
  <c r="C318" i="35615"/>
  <c r="C319" i="35615"/>
  <c r="C320" i="35615"/>
  <c r="C321" i="35615"/>
  <c r="C322" i="35615"/>
  <c r="C323" i="35615"/>
  <c r="C324" i="35615"/>
  <c r="C325" i="35615"/>
  <c r="C326" i="35615"/>
  <c r="C327" i="35615"/>
  <c r="C328" i="35615"/>
  <c r="C329" i="35615"/>
  <c r="C330" i="35615"/>
  <c r="C331" i="35615"/>
  <c r="C332" i="35615"/>
  <c r="C333" i="35615"/>
  <c r="C334" i="35615"/>
  <c r="C335" i="35615"/>
  <c r="C336" i="35615"/>
  <c r="C337" i="35615"/>
  <c r="C338" i="35615"/>
  <c r="C278" i="35615"/>
  <c r="C279" i="35615"/>
  <c r="C280" i="35615"/>
  <c r="C281" i="35615"/>
  <c r="C282" i="35615"/>
  <c r="C283" i="35615"/>
  <c r="C284" i="35615"/>
  <c r="C285" i="35615"/>
  <c r="C286" i="35615"/>
  <c r="C287" i="35615"/>
  <c r="C288" i="35615"/>
  <c r="C289" i="35615"/>
  <c r="C290" i="35615"/>
  <c r="C291" i="35615"/>
  <c r="C292" i="35615"/>
  <c r="C293" i="35615"/>
  <c r="C294" i="35615"/>
  <c r="C295" i="35615"/>
  <c r="C296" i="35615"/>
  <c r="C297" i="35615"/>
  <c r="C298" i="35615"/>
  <c r="C299" i="35615"/>
  <c r="C300" i="35615"/>
  <c r="C301" i="35615"/>
  <c r="C302" i="35615"/>
  <c r="C303" i="35615"/>
  <c r="C304" i="35615"/>
  <c r="C305" i="35615"/>
  <c r="C306" i="35615"/>
  <c r="C307" i="35615"/>
  <c r="C308" i="35615"/>
  <c r="C248" i="35615"/>
  <c r="C249" i="35615"/>
  <c r="C250" i="35615"/>
  <c r="C251" i="35615"/>
  <c r="C252" i="35615"/>
  <c r="C253" i="35615"/>
  <c r="C254" i="35615"/>
  <c r="C255" i="35615"/>
  <c r="C256" i="35615"/>
  <c r="C257" i="35615"/>
  <c r="C258" i="35615"/>
  <c r="C259" i="35615"/>
  <c r="C260" i="35615"/>
  <c r="C261" i="35615"/>
  <c r="C262" i="35615"/>
  <c r="C263" i="35615"/>
  <c r="C264" i="35615"/>
  <c r="C265" i="35615"/>
  <c r="C266" i="35615"/>
  <c r="C267" i="35615"/>
  <c r="C268" i="35615"/>
  <c r="C269" i="35615"/>
  <c r="C270" i="35615"/>
  <c r="C271" i="35615"/>
  <c r="C272" i="35615"/>
  <c r="C273" i="35615"/>
  <c r="C274" i="35615"/>
  <c r="C275" i="35615"/>
  <c r="C276" i="35615"/>
  <c r="C277" i="35615"/>
  <c r="C217" i="35615"/>
  <c r="C218" i="35615"/>
  <c r="C219" i="35615"/>
  <c r="C220" i="35615"/>
  <c r="C221" i="35615"/>
  <c r="C222" i="35615"/>
  <c r="C223" i="35615"/>
  <c r="C224" i="35615"/>
  <c r="C225" i="35615"/>
  <c r="C226" i="35615"/>
  <c r="C227" i="35615"/>
  <c r="C228" i="35615"/>
  <c r="C229" i="35615"/>
  <c r="C230" i="35615"/>
  <c r="C231" i="35615"/>
  <c r="C232" i="35615"/>
  <c r="C233" i="35615"/>
  <c r="C234" i="35615"/>
  <c r="C235" i="35615"/>
  <c r="C236" i="35615"/>
  <c r="C237" i="35615"/>
  <c r="C238" i="35615"/>
  <c r="C239" i="35615"/>
  <c r="C240" i="35615"/>
  <c r="C241" i="35615"/>
  <c r="C242" i="35615"/>
  <c r="C243" i="35615"/>
  <c r="C244" i="35615"/>
  <c r="C245" i="35615"/>
  <c r="C246" i="35615"/>
  <c r="C247" i="35615"/>
  <c r="C186" i="35615"/>
  <c r="C187" i="35615"/>
  <c r="C188" i="35615"/>
  <c r="C189" i="35615"/>
  <c r="C190" i="35615"/>
  <c r="C191" i="35615"/>
  <c r="C192" i="35615"/>
  <c r="C193" i="35615"/>
  <c r="C194" i="35615"/>
  <c r="C195" i="35615"/>
  <c r="C196" i="35615"/>
  <c r="C197" i="35615"/>
  <c r="C198" i="35615"/>
  <c r="C199" i="35615"/>
  <c r="C200" i="35615"/>
  <c r="C201" i="35615"/>
  <c r="C202" i="35615"/>
  <c r="C203" i="35615"/>
  <c r="C204" i="35615"/>
  <c r="C205" i="35615"/>
  <c r="C206" i="35615"/>
  <c r="C207" i="35615"/>
  <c r="C208" i="35615"/>
  <c r="C209" i="35615"/>
  <c r="C210" i="35615"/>
  <c r="C211" i="35615"/>
  <c r="C212" i="35615"/>
  <c r="C213" i="35615"/>
  <c r="C214" i="35615"/>
  <c r="C215" i="35615"/>
  <c r="C216" i="35615"/>
  <c r="C156" i="35615"/>
  <c r="C157" i="35615"/>
  <c r="C158" i="35615"/>
  <c r="C159" i="35615"/>
  <c r="C160" i="35615"/>
  <c r="C161" i="35615"/>
  <c r="C162" i="35615"/>
  <c r="C163" i="35615"/>
  <c r="C164" i="35615"/>
  <c r="C165" i="35615"/>
  <c r="C166" i="35615"/>
  <c r="C167" i="35615"/>
  <c r="C168" i="35615"/>
  <c r="C169" i="35615"/>
  <c r="C170" i="35615"/>
  <c r="C171" i="35615"/>
  <c r="C172" i="35615"/>
  <c r="C173" i="35615"/>
  <c r="C174" i="35615"/>
  <c r="C175" i="35615"/>
  <c r="C176" i="35615"/>
  <c r="C177" i="35615"/>
  <c r="C178" i="35615"/>
  <c r="C179" i="35615"/>
  <c r="C180" i="35615"/>
  <c r="C181" i="35615"/>
  <c r="C182" i="35615"/>
  <c r="C183" i="35615"/>
  <c r="C184" i="35615"/>
  <c r="C185" i="35615"/>
  <c r="C125" i="35615"/>
  <c r="C126" i="35615"/>
  <c r="C127" i="35615"/>
  <c r="C128" i="35615"/>
  <c r="C129" i="35615"/>
  <c r="C130" i="35615"/>
  <c r="C131" i="35615"/>
  <c r="C132" i="35615"/>
  <c r="C133" i="35615"/>
  <c r="C134" i="35615"/>
  <c r="C135" i="35615"/>
  <c r="C136" i="35615"/>
  <c r="C137" i="35615"/>
  <c r="C138" i="35615"/>
  <c r="C139" i="35615"/>
  <c r="C140" i="35615"/>
  <c r="C141" i="35615"/>
  <c r="C142" i="35615"/>
  <c r="C143" i="35615"/>
  <c r="C144" i="35615"/>
  <c r="C145" i="35615"/>
  <c r="C146" i="35615"/>
  <c r="C147" i="35615"/>
  <c r="C148" i="35615"/>
  <c r="C149" i="35615"/>
  <c r="C150" i="35615"/>
  <c r="C151" i="35615"/>
  <c r="C152" i="35615"/>
  <c r="C153" i="35615"/>
  <c r="C154" i="35615"/>
  <c r="C155" i="35615"/>
  <c r="C95" i="35615"/>
  <c r="C96" i="35615"/>
  <c r="C97" i="35615"/>
  <c r="C98" i="35615"/>
  <c r="C99" i="35615"/>
  <c r="C100" i="35615"/>
  <c r="C101" i="35615"/>
  <c r="C102" i="35615"/>
  <c r="C103" i="35615"/>
  <c r="C104" i="35615"/>
  <c r="C105" i="35615"/>
  <c r="C106" i="35615"/>
  <c r="C107" i="35615"/>
  <c r="C108" i="35615"/>
  <c r="C109" i="35615"/>
  <c r="C110" i="35615"/>
  <c r="C111" i="35615"/>
  <c r="C112" i="35615"/>
  <c r="C113" i="35615"/>
  <c r="C114" i="35615"/>
  <c r="C115" i="35615"/>
  <c r="C116" i="35615"/>
  <c r="C117" i="35615"/>
  <c r="C118" i="35615"/>
  <c r="C119" i="35615"/>
  <c r="C120" i="35615"/>
  <c r="C121" i="35615"/>
  <c r="C122" i="35615"/>
  <c r="C123" i="35615"/>
  <c r="C124" i="35615"/>
  <c r="C65" i="35615"/>
  <c r="C66" i="35615"/>
  <c r="C67" i="35615"/>
  <c r="C68" i="35615"/>
  <c r="C69" i="35615"/>
  <c r="C70" i="35615"/>
  <c r="C71" i="35615"/>
  <c r="C72" i="35615"/>
  <c r="C73" i="35615"/>
  <c r="C74" i="35615"/>
  <c r="C75" i="35615"/>
  <c r="C76" i="35615"/>
  <c r="C77" i="35615"/>
  <c r="C78" i="35615"/>
  <c r="C79" i="35615"/>
  <c r="C80" i="35615"/>
  <c r="C81" i="35615"/>
  <c r="C82" i="35615"/>
  <c r="C83" i="35615"/>
  <c r="C84" i="35615"/>
  <c r="C85" i="35615"/>
  <c r="C86" i="35615"/>
  <c r="C87" i="35615"/>
  <c r="C88" i="35615"/>
  <c r="C89" i="35615"/>
  <c r="C90" i="35615"/>
  <c r="C91" i="35615"/>
  <c r="C92" i="35615"/>
  <c r="C93" i="35615"/>
  <c r="C94" i="35615"/>
  <c r="C64" i="35615"/>
  <c r="C63" i="35615"/>
  <c r="C35" i="35615"/>
  <c r="C36" i="35615"/>
  <c r="C37" i="35615"/>
  <c r="C38" i="35615"/>
  <c r="C39" i="35615"/>
  <c r="C40" i="35615"/>
  <c r="C41" i="35615"/>
  <c r="C42" i="35615"/>
  <c r="C43" i="35615"/>
  <c r="C44" i="35615"/>
  <c r="C45" i="35615"/>
  <c r="C46" i="35615"/>
  <c r="C47" i="35615"/>
  <c r="C48" i="35615"/>
  <c r="C49" i="35615"/>
  <c r="C50" i="35615"/>
  <c r="C51" i="35615"/>
  <c r="C52" i="35615"/>
  <c r="C53" i="35615"/>
  <c r="C54" i="35615"/>
  <c r="C55" i="35615"/>
  <c r="C56" i="35615"/>
  <c r="C57" i="35615"/>
  <c r="C58" i="35615"/>
  <c r="C59" i="35615"/>
  <c r="C60" i="35615"/>
  <c r="C61" i="35615"/>
  <c r="C62" i="35615"/>
  <c r="C5" i="35615"/>
  <c r="C6" i="35615"/>
  <c r="C7" i="35615"/>
  <c r="C8" i="35615"/>
  <c r="C9" i="35615"/>
  <c r="C10" i="35615"/>
  <c r="C11" i="35615"/>
  <c r="C12" i="35615"/>
  <c r="C13" i="35615"/>
  <c r="C14" i="35615"/>
  <c r="C15" i="35615"/>
  <c r="C16" i="35615"/>
  <c r="C17" i="35615"/>
  <c r="C18" i="35615"/>
  <c r="C19" i="35615"/>
  <c r="C20" i="35615"/>
  <c r="C21" i="35615"/>
  <c r="C22" i="35615"/>
  <c r="C23" i="35615"/>
  <c r="C24" i="35615"/>
  <c r="C25" i="35615"/>
  <c r="C26" i="35615"/>
  <c r="C27" i="35615"/>
  <c r="C28" i="35615"/>
  <c r="C29" i="35615"/>
  <c r="C30" i="35615"/>
  <c r="C31" i="35615"/>
  <c r="C32" i="35615"/>
  <c r="C33" i="35615"/>
  <c r="C34" i="35615"/>
  <c r="C4" i="35615"/>
  <c r="E1" i="35615" l="1"/>
  <c r="I48" i="35581" l="1"/>
  <c r="I47" i="35581"/>
  <c r="H48" i="35581"/>
  <c r="H47" i="35581"/>
  <c r="G48" i="35581"/>
  <c r="G47" i="35581"/>
  <c r="F48" i="35581"/>
  <c r="F47" i="35581"/>
  <c r="K7" i="35571" l="1"/>
  <c r="E7" i="35571"/>
  <c r="P2" i="35571"/>
  <c r="I7" i="35601"/>
  <c r="C7" i="35601"/>
  <c r="Q2" i="35601"/>
  <c r="I7" i="35572"/>
  <c r="C7" i="35572"/>
  <c r="Q2" i="35572"/>
  <c r="H7" i="35600"/>
  <c r="D7" i="35600"/>
  <c r="O2" i="35600"/>
  <c r="J7" i="35574"/>
  <c r="C7" i="35574"/>
  <c r="R2" i="35574"/>
  <c r="EQ62" i="35569" l="1"/>
  <c r="T2" i="35581" l="1"/>
  <c r="J45" i="35581" s="1"/>
  <c r="B2" i="35581" l="1"/>
  <c r="B2" i="35571"/>
  <c r="B2" i="35601"/>
  <c r="B2" i="35572"/>
  <c r="B2" i="35600"/>
  <c r="B2" i="35574"/>
  <c r="K16" i="35569" l="1"/>
  <c r="R32" i="35571" l="1"/>
  <c r="S18" i="35569"/>
  <c r="H28" i="35581" s="1"/>
  <c r="M21" i="35581"/>
  <c r="H94" i="35581"/>
  <c r="N21" i="35581" l="1"/>
  <c r="B5" i="35571"/>
  <c r="B5" i="35601"/>
  <c r="B5" i="35572"/>
  <c r="B5" i="35600"/>
  <c r="B5" i="35574"/>
  <c r="B5" i="35581"/>
  <c r="Q7" i="35601"/>
  <c r="R7" i="35574"/>
  <c r="S17" i="35569"/>
  <c r="H27" i="35581" s="1"/>
  <c r="J95" i="35581"/>
  <c r="J96" i="35581" s="1"/>
  <c r="J98" i="35581" s="1"/>
  <c r="AF32" i="35569"/>
  <c r="AG32" i="35569"/>
  <c r="AH32" i="35569"/>
  <c r="AI32" i="35569"/>
  <c r="AJ32" i="35569"/>
  <c r="AK32" i="35569"/>
  <c r="AL32" i="35569"/>
  <c r="AM32" i="35569"/>
  <c r="AN32" i="35569"/>
  <c r="AO32" i="35569"/>
  <c r="AP32" i="35569"/>
  <c r="AQ32" i="35569"/>
  <c r="AU32" i="35569"/>
  <c r="AV32" i="35569" s="1"/>
  <c r="AW32" i="35569"/>
  <c r="AX32" i="35569" s="1"/>
  <c r="AY32" i="35569"/>
  <c r="AZ32" i="35569" s="1"/>
  <c r="BA32" i="35569"/>
  <c r="BB32" i="35569" s="1"/>
  <c r="BC32" i="35569"/>
  <c r="BD32" i="35569" s="1"/>
  <c r="BE32" i="35569"/>
  <c r="BF32" i="35569"/>
  <c r="BG32" i="35569"/>
  <c r="BH32" i="35569" s="1"/>
  <c r="BI32" i="35569"/>
  <c r="BJ32" i="35569" s="1"/>
  <c r="BK32" i="35569"/>
  <c r="BL32" i="35569" s="1"/>
  <c r="BM32" i="35569"/>
  <c r="BN32" i="35569" s="1"/>
  <c r="BO32" i="35569"/>
  <c r="BP32" i="35569" s="1"/>
  <c r="BQ32" i="35569"/>
  <c r="BR32" i="35569" s="1"/>
  <c r="BV32" i="35569"/>
  <c r="DX32" i="35569" s="1"/>
  <c r="BX32" i="35569"/>
  <c r="DY32" i="35569" s="1"/>
  <c r="BZ32" i="35569"/>
  <c r="DZ32" i="35569" s="1"/>
  <c r="CB32" i="35569"/>
  <c r="EA32" i="35569" s="1"/>
  <c r="CD32" i="35569"/>
  <c r="EB32" i="35569" s="1"/>
  <c r="CF32" i="35569"/>
  <c r="EC32" i="35569" s="1"/>
  <c r="CH32" i="35569"/>
  <c r="ED32" i="35569" s="1"/>
  <c r="CJ32" i="35569"/>
  <c r="EE32" i="35569" s="1"/>
  <c r="CL32" i="35569"/>
  <c r="EF32" i="35569" s="1"/>
  <c r="CN32" i="35569"/>
  <c r="EG32" i="35569" s="1"/>
  <c r="CP32" i="35569"/>
  <c r="EH32" i="35569" s="1"/>
  <c r="CR32" i="35569"/>
  <c r="EI32" i="35569" s="1"/>
  <c r="EK32" i="35569"/>
  <c r="EL32" i="35569" s="1"/>
  <c r="EM32" i="35569"/>
  <c r="EN32" i="35569" s="1"/>
  <c r="EO32" i="35569"/>
  <c r="EP32" i="35569" s="1"/>
  <c r="EQ32" i="35569"/>
  <c r="ER32" i="35569" s="1"/>
  <c r="ES32" i="35569"/>
  <c r="ET32" i="35569"/>
  <c r="EU32" i="35569"/>
  <c r="EV32" i="35569" s="1"/>
  <c r="EW32" i="35569"/>
  <c r="EX32" i="35569"/>
  <c r="EY32" i="35569"/>
  <c r="EZ32" i="35569" s="1"/>
  <c r="FA32" i="35569"/>
  <c r="FB32" i="35569" s="1"/>
  <c r="FC32" i="35569"/>
  <c r="FD32" i="35569" s="1"/>
  <c r="FE32" i="35569"/>
  <c r="FF32" i="35569" s="1"/>
  <c r="FG32" i="35569"/>
  <c r="FH32" i="35569" s="1"/>
  <c r="AF33" i="35569"/>
  <c r="AG33" i="35569"/>
  <c r="AH33" i="35569"/>
  <c r="AI33" i="35569"/>
  <c r="AJ33" i="35569"/>
  <c r="AK33" i="35569"/>
  <c r="AL33" i="35569"/>
  <c r="AM33" i="35569"/>
  <c r="AN33" i="35569"/>
  <c r="AO33" i="35569"/>
  <c r="AP33" i="35569"/>
  <c r="AQ33" i="35569"/>
  <c r="AU33" i="35569"/>
  <c r="AV33" i="35569" s="1"/>
  <c r="AW33" i="35569"/>
  <c r="AX33" i="35569" s="1"/>
  <c r="AY33" i="35569"/>
  <c r="AZ33" i="35569" s="1"/>
  <c r="BA33" i="35569"/>
  <c r="BB33" i="35569" s="1"/>
  <c r="BC33" i="35569"/>
  <c r="BD33" i="35569" s="1"/>
  <c r="BE33" i="35569"/>
  <c r="BF33" i="35569" s="1"/>
  <c r="BG33" i="35569"/>
  <c r="BH33" i="35569" s="1"/>
  <c r="BI33" i="35569"/>
  <c r="BJ33" i="35569" s="1"/>
  <c r="BK33" i="35569"/>
  <c r="BL33" i="35569" s="1"/>
  <c r="BM33" i="35569"/>
  <c r="BN33" i="35569" s="1"/>
  <c r="BO33" i="35569"/>
  <c r="BP33" i="35569" s="1"/>
  <c r="BQ33" i="35569"/>
  <c r="BR33" i="35569" s="1"/>
  <c r="BV33" i="35569"/>
  <c r="DX33" i="35569" s="1"/>
  <c r="BX33" i="35569"/>
  <c r="DY33" i="35569" s="1"/>
  <c r="BZ33" i="35569"/>
  <c r="DZ33" i="35569" s="1"/>
  <c r="CB33" i="35569"/>
  <c r="EA33" i="35569" s="1"/>
  <c r="CD33" i="35569"/>
  <c r="EB33" i="35569" s="1"/>
  <c r="CF33" i="35569"/>
  <c r="EC33" i="35569" s="1"/>
  <c r="CH33" i="35569"/>
  <c r="ED33" i="35569" s="1"/>
  <c r="CJ33" i="35569"/>
  <c r="EE33" i="35569" s="1"/>
  <c r="CL33" i="35569"/>
  <c r="EF33" i="35569" s="1"/>
  <c r="CN33" i="35569"/>
  <c r="EG33" i="35569" s="1"/>
  <c r="CP33" i="35569"/>
  <c r="EH33" i="35569" s="1"/>
  <c r="CR33" i="35569"/>
  <c r="EI33" i="35569" s="1"/>
  <c r="EK33" i="35569"/>
  <c r="EL33" i="35569"/>
  <c r="EM33" i="35569"/>
  <c r="EN33" i="35569" s="1"/>
  <c r="EO33" i="35569"/>
  <c r="EP33" i="35569" s="1"/>
  <c r="EQ33" i="35569"/>
  <c r="ER33" i="35569" s="1"/>
  <c r="ES33" i="35569"/>
  <c r="ET33" i="35569" s="1"/>
  <c r="EU33" i="35569"/>
  <c r="EV33" i="35569" s="1"/>
  <c r="EW33" i="35569"/>
  <c r="EX33" i="35569"/>
  <c r="EY33" i="35569"/>
  <c r="EZ33" i="35569" s="1"/>
  <c r="FA33" i="35569"/>
  <c r="FB33" i="35569"/>
  <c r="FC33" i="35569"/>
  <c r="FD33" i="35569" s="1"/>
  <c r="FE33" i="35569"/>
  <c r="FF33" i="35569" s="1"/>
  <c r="FG33" i="35569"/>
  <c r="FH33" i="35569" s="1"/>
  <c r="AF34" i="35569"/>
  <c r="AG34" i="35569"/>
  <c r="AH34" i="35569"/>
  <c r="AI34" i="35569"/>
  <c r="AJ34" i="35569"/>
  <c r="AK34" i="35569"/>
  <c r="AL34" i="35569"/>
  <c r="AM34" i="35569"/>
  <c r="AN34" i="35569"/>
  <c r="AO34" i="35569"/>
  <c r="AP34" i="35569"/>
  <c r="AQ34" i="35569"/>
  <c r="AU34" i="35569"/>
  <c r="AV34" i="35569" s="1"/>
  <c r="AW34" i="35569"/>
  <c r="AX34" i="35569" s="1"/>
  <c r="AY34" i="35569"/>
  <c r="AZ34" i="35569" s="1"/>
  <c r="BA34" i="35569"/>
  <c r="BB34" i="35569" s="1"/>
  <c r="BC34" i="35569"/>
  <c r="BD34" i="35569" s="1"/>
  <c r="BE34" i="35569"/>
  <c r="BF34" i="35569" s="1"/>
  <c r="BG34" i="35569"/>
  <c r="BH34" i="35569" s="1"/>
  <c r="BI34" i="35569"/>
  <c r="BJ34" i="35569" s="1"/>
  <c r="BK34" i="35569"/>
  <c r="BL34" i="35569" s="1"/>
  <c r="BM34" i="35569"/>
  <c r="BN34" i="35569" s="1"/>
  <c r="BO34" i="35569"/>
  <c r="BP34" i="35569" s="1"/>
  <c r="BQ34" i="35569"/>
  <c r="BR34" i="35569" s="1"/>
  <c r="BV34" i="35569"/>
  <c r="BX34" i="35569"/>
  <c r="DY34" i="35569" s="1"/>
  <c r="BZ34" i="35569"/>
  <c r="DZ34" i="35569" s="1"/>
  <c r="CB34" i="35569"/>
  <c r="EA34" i="35569" s="1"/>
  <c r="CD34" i="35569"/>
  <c r="EB34" i="35569" s="1"/>
  <c r="CF34" i="35569"/>
  <c r="EC34" i="35569" s="1"/>
  <c r="CH34" i="35569"/>
  <c r="ED34" i="35569" s="1"/>
  <c r="CJ34" i="35569"/>
  <c r="CL34" i="35569"/>
  <c r="EF34" i="35569" s="1"/>
  <c r="CN34" i="35569"/>
  <c r="EG34" i="35569" s="1"/>
  <c r="CP34" i="35569"/>
  <c r="EH34" i="35569" s="1"/>
  <c r="CR34" i="35569"/>
  <c r="EI34" i="35569" s="1"/>
  <c r="DX34" i="35569"/>
  <c r="EE34" i="35569"/>
  <c r="EK34" i="35569"/>
  <c r="EL34" i="35569" s="1"/>
  <c r="EM34" i="35569"/>
  <c r="EN34" i="35569" s="1"/>
  <c r="EO34" i="35569"/>
  <c r="EP34" i="35569" s="1"/>
  <c r="EQ34" i="35569"/>
  <c r="ER34" i="35569" s="1"/>
  <c r="ES34" i="35569"/>
  <c r="ET34" i="35569" s="1"/>
  <c r="EU34" i="35569"/>
  <c r="EV34" i="35569" s="1"/>
  <c r="EW34" i="35569"/>
  <c r="EX34" i="35569" s="1"/>
  <c r="EY34" i="35569"/>
  <c r="EZ34" i="35569" s="1"/>
  <c r="FA34" i="35569"/>
  <c r="FB34" i="35569" s="1"/>
  <c r="FC34" i="35569"/>
  <c r="FD34" i="35569" s="1"/>
  <c r="FE34" i="35569"/>
  <c r="FF34" i="35569" s="1"/>
  <c r="FG34" i="35569"/>
  <c r="FH34" i="35569" s="1"/>
  <c r="AF35" i="35569"/>
  <c r="AG35" i="35569"/>
  <c r="AH35" i="35569"/>
  <c r="AI35" i="35569"/>
  <c r="AJ35" i="35569"/>
  <c r="AK35" i="35569"/>
  <c r="AL35" i="35569"/>
  <c r="AM35" i="35569"/>
  <c r="AN35" i="35569"/>
  <c r="AO35" i="35569"/>
  <c r="AP35" i="35569"/>
  <c r="AQ35" i="35569"/>
  <c r="AU35" i="35569"/>
  <c r="AV35" i="35569" s="1"/>
  <c r="AW35" i="35569"/>
  <c r="AX35" i="35569" s="1"/>
  <c r="AY35" i="35569"/>
  <c r="AZ35" i="35569" s="1"/>
  <c r="BA35" i="35569"/>
  <c r="BB35" i="35569" s="1"/>
  <c r="BC35" i="35569"/>
  <c r="BD35" i="35569" s="1"/>
  <c r="BE35" i="35569"/>
  <c r="BF35" i="35569" s="1"/>
  <c r="BG35" i="35569"/>
  <c r="BH35" i="35569" s="1"/>
  <c r="BI35" i="35569"/>
  <c r="BJ35" i="35569" s="1"/>
  <c r="BK35" i="35569"/>
  <c r="BL35" i="35569" s="1"/>
  <c r="BM35" i="35569"/>
  <c r="BN35" i="35569" s="1"/>
  <c r="BO35" i="35569"/>
  <c r="BP35" i="35569" s="1"/>
  <c r="BQ35" i="35569"/>
  <c r="BR35" i="35569" s="1"/>
  <c r="BV35" i="35569"/>
  <c r="DX35" i="35569" s="1"/>
  <c r="BX35" i="35569"/>
  <c r="DY35" i="35569" s="1"/>
  <c r="BZ35" i="35569"/>
  <c r="DZ35" i="35569" s="1"/>
  <c r="CB35" i="35569"/>
  <c r="EA35" i="35569" s="1"/>
  <c r="CD35" i="35569"/>
  <c r="EB35" i="35569" s="1"/>
  <c r="CF35" i="35569"/>
  <c r="EC35" i="35569" s="1"/>
  <c r="CH35" i="35569"/>
  <c r="ED35" i="35569" s="1"/>
  <c r="CJ35" i="35569"/>
  <c r="EE35" i="35569" s="1"/>
  <c r="CL35" i="35569"/>
  <c r="EF35" i="35569" s="1"/>
  <c r="CN35" i="35569"/>
  <c r="EG35" i="35569" s="1"/>
  <c r="CP35" i="35569"/>
  <c r="EH35" i="35569" s="1"/>
  <c r="CR35" i="35569"/>
  <c r="EI35" i="35569" s="1"/>
  <c r="EK35" i="35569"/>
  <c r="EL35" i="35569"/>
  <c r="EM35" i="35569"/>
  <c r="EN35" i="35569" s="1"/>
  <c r="EO35" i="35569"/>
  <c r="EP35" i="35569" s="1"/>
  <c r="EQ35" i="35569"/>
  <c r="ER35" i="35569" s="1"/>
  <c r="ES35" i="35569"/>
  <c r="ET35" i="35569" s="1"/>
  <c r="EU35" i="35569"/>
  <c r="EV35" i="35569" s="1"/>
  <c r="EW35" i="35569"/>
  <c r="EX35" i="35569" s="1"/>
  <c r="EY35" i="35569"/>
  <c r="EZ35" i="35569" s="1"/>
  <c r="FA35" i="35569"/>
  <c r="FB35" i="35569" s="1"/>
  <c r="FC35" i="35569"/>
  <c r="FD35" i="35569" s="1"/>
  <c r="FE35" i="35569"/>
  <c r="FF35" i="35569" s="1"/>
  <c r="FG35" i="35569"/>
  <c r="FH35" i="35569" s="1"/>
  <c r="AF36" i="35569"/>
  <c r="AG36" i="35569"/>
  <c r="AH36" i="35569"/>
  <c r="AI36" i="35569"/>
  <c r="AJ36" i="35569"/>
  <c r="AK36" i="35569"/>
  <c r="AL36" i="35569"/>
  <c r="AM36" i="35569"/>
  <c r="AN36" i="35569"/>
  <c r="AO36" i="35569"/>
  <c r="AP36" i="35569"/>
  <c r="AQ36" i="35569"/>
  <c r="AU36" i="35569"/>
  <c r="AV36" i="35569" s="1"/>
  <c r="AW36" i="35569"/>
  <c r="AX36" i="35569" s="1"/>
  <c r="AY36" i="35569"/>
  <c r="AZ36" i="35569" s="1"/>
  <c r="BA36" i="35569"/>
  <c r="BB36" i="35569" s="1"/>
  <c r="BC36" i="35569"/>
  <c r="BD36" i="35569" s="1"/>
  <c r="BE36" i="35569"/>
  <c r="BF36" i="35569" s="1"/>
  <c r="BG36" i="35569"/>
  <c r="BH36" i="35569" s="1"/>
  <c r="BI36" i="35569"/>
  <c r="BJ36" i="35569" s="1"/>
  <c r="BK36" i="35569"/>
  <c r="BL36" i="35569" s="1"/>
  <c r="BM36" i="35569"/>
  <c r="BN36" i="35569" s="1"/>
  <c r="BO36" i="35569"/>
  <c r="BP36" i="35569" s="1"/>
  <c r="BQ36" i="35569"/>
  <c r="BR36" i="35569" s="1"/>
  <c r="BV36" i="35569"/>
  <c r="DX36" i="35569" s="1"/>
  <c r="BX36" i="35569"/>
  <c r="DY36" i="35569" s="1"/>
  <c r="BZ36" i="35569"/>
  <c r="DZ36" i="35569" s="1"/>
  <c r="CB36" i="35569"/>
  <c r="EA36" i="35569" s="1"/>
  <c r="CD36" i="35569"/>
  <c r="EB36" i="35569" s="1"/>
  <c r="CF36" i="35569"/>
  <c r="EC36" i="35569" s="1"/>
  <c r="CH36" i="35569"/>
  <c r="ED36" i="35569" s="1"/>
  <c r="CJ36" i="35569"/>
  <c r="EE36" i="35569" s="1"/>
  <c r="CL36" i="35569"/>
  <c r="EF36" i="35569" s="1"/>
  <c r="CN36" i="35569"/>
  <c r="EG36" i="35569" s="1"/>
  <c r="CP36" i="35569"/>
  <c r="EH36" i="35569" s="1"/>
  <c r="CR36" i="35569"/>
  <c r="EI36" i="35569" s="1"/>
  <c r="EK36" i="35569"/>
  <c r="EL36" i="35569" s="1"/>
  <c r="EM36" i="35569"/>
  <c r="EN36" i="35569" s="1"/>
  <c r="EO36" i="35569"/>
  <c r="EP36" i="35569" s="1"/>
  <c r="EQ36" i="35569"/>
  <c r="ER36" i="35569" s="1"/>
  <c r="ES36" i="35569"/>
  <c r="ET36" i="35569" s="1"/>
  <c r="EU36" i="35569"/>
  <c r="EV36" i="35569" s="1"/>
  <c r="EW36" i="35569"/>
  <c r="EX36" i="35569" s="1"/>
  <c r="EY36" i="35569"/>
  <c r="EZ36" i="35569" s="1"/>
  <c r="FA36" i="35569"/>
  <c r="FB36" i="35569" s="1"/>
  <c r="FC36" i="35569"/>
  <c r="FD36" i="35569" s="1"/>
  <c r="FE36" i="35569"/>
  <c r="FF36" i="35569" s="1"/>
  <c r="FG36" i="35569"/>
  <c r="FH36" i="35569" s="1"/>
  <c r="AF37" i="35569"/>
  <c r="AG37" i="35569"/>
  <c r="AH37" i="35569"/>
  <c r="AI37" i="35569"/>
  <c r="AJ37" i="35569"/>
  <c r="AK37" i="35569"/>
  <c r="AL37" i="35569"/>
  <c r="AM37" i="35569"/>
  <c r="AN37" i="35569"/>
  <c r="AO37" i="35569"/>
  <c r="AP37" i="35569"/>
  <c r="AQ37" i="35569"/>
  <c r="AU37" i="35569"/>
  <c r="AV37" i="35569" s="1"/>
  <c r="AW37" i="35569"/>
  <c r="AX37" i="35569" s="1"/>
  <c r="AY37" i="35569"/>
  <c r="AZ37" i="35569" s="1"/>
  <c r="BA37" i="35569"/>
  <c r="BB37" i="35569" s="1"/>
  <c r="BC37" i="35569"/>
  <c r="BD37" i="35569" s="1"/>
  <c r="BE37" i="35569"/>
  <c r="BF37" i="35569" s="1"/>
  <c r="BG37" i="35569"/>
  <c r="BH37" i="35569" s="1"/>
  <c r="BI37" i="35569"/>
  <c r="BJ37" i="35569" s="1"/>
  <c r="BK37" i="35569"/>
  <c r="BL37" i="35569" s="1"/>
  <c r="BM37" i="35569"/>
  <c r="BN37" i="35569" s="1"/>
  <c r="BO37" i="35569"/>
  <c r="BP37" i="35569" s="1"/>
  <c r="BQ37" i="35569"/>
  <c r="BR37" i="35569" s="1"/>
  <c r="BV37" i="35569"/>
  <c r="DX37" i="35569" s="1"/>
  <c r="BX37" i="35569"/>
  <c r="DY37" i="35569" s="1"/>
  <c r="BZ37" i="35569"/>
  <c r="DZ37" i="35569" s="1"/>
  <c r="CB37" i="35569"/>
  <c r="EA37" i="35569" s="1"/>
  <c r="CD37" i="35569"/>
  <c r="EB37" i="35569" s="1"/>
  <c r="CF37" i="35569"/>
  <c r="EC37" i="35569" s="1"/>
  <c r="CH37" i="35569"/>
  <c r="ED37" i="35569" s="1"/>
  <c r="CJ37" i="35569"/>
  <c r="EE37" i="35569" s="1"/>
  <c r="CL37" i="35569"/>
  <c r="EF37" i="35569" s="1"/>
  <c r="CN37" i="35569"/>
  <c r="EG37" i="35569" s="1"/>
  <c r="CP37" i="35569"/>
  <c r="EH37" i="35569" s="1"/>
  <c r="CR37" i="35569"/>
  <c r="EI37" i="35569" s="1"/>
  <c r="EK37" i="35569"/>
  <c r="EL37" i="35569" s="1"/>
  <c r="EM37" i="35569"/>
  <c r="EN37" i="35569" s="1"/>
  <c r="EO37" i="35569"/>
  <c r="EP37" i="35569" s="1"/>
  <c r="EQ37" i="35569"/>
  <c r="ER37" i="35569" s="1"/>
  <c r="ES37" i="35569"/>
  <c r="ET37" i="35569" s="1"/>
  <c r="EU37" i="35569"/>
  <c r="EV37" i="35569" s="1"/>
  <c r="EW37" i="35569"/>
  <c r="EX37" i="35569"/>
  <c r="EY37" i="35569"/>
  <c r="EZ37" i="35569"/>
  <c r="FA37" i="35569"/>
  <c r="FB37" i="35569"/>
  <c r="FC37" i="35569"/>
  <c r="FD37" i="35569" s="1"/>
  <c r="FE37" i="35569"/>
  <c r="FF37" i="35569" s="1"/>
  <c r="FG37" i="35569"/>
  <c r="FH37" i="35569" s="1"/>
  <c r="AF38" i="35569"/>
  <c r="AG38" i="35569"/>
  <c r="AH38" i="35569"/>
  <c r="AI38" i="35569"/>
  <c r="AJ38" i="35569"/>
  <c r="AK38" i="35569"/>
  <c r="AL38" i="35569"/>
  <c r="AM38" i="35569"/>
  <c r="AN38" i="35569"/>
  <c r="AO38" i="35569"/>
  <c r="AP38" i="35569"/>
  <c r="AQ38" i="35569"/>
  <c r="AU38" i="35569"/>
  <c r="AV38" i="35569" s="1"/>
  <c r="AW38" i="35569"/>
  <c r="AX38" i="35569" s="1"/>
  <c r="AY38" i="35569"/>
  <c r="AZ38" i="35569" s="1"/>
  <c r="BA38" i="35569"/>
  <c r="BB38" i="35569" s="1"/>
  <c r="BC38" i="35569"/>
  <c r="BD38" i="35569" s="1"/>
  <c r="BE38" i="35569"/>
  <c r="BF38" i="35569" s="1"/>
  <c r="BG38" i="35569"/>
  <c r="BH38" i="35569" s="1"/>
  <c r="BI38" i="35569"/>
  <c r="BJ38" i="35569" s="1"/>
  <c r="BK38" i="35569"/>
  <c r="BL38" i="35569" s="1"/>
  <c r="BM38" i="35569"/>
  <c r="BN38" i="35569" s="1"/>
  <c r="BO38" i="35569"/>
  <c r="BP38" i="35569" s="1"/>
  <c r="BQ38" i="35569"/>
  <c r="BR38" i="35569" s="1"/>
  <c r="BV38" i="35569"/>
  <c r="DX38" i="35569" s="1"/>
  <c r="BX38" i="35569"/>
  <c r="DY38" i="35569" s="1"/>
  <c r="BZ38" i="35569"/>
  <c r="DZ38" i="35569" s="1"/>
  <c r="CB38" i="35569"/>
  <c r="EA38" i="35569" s="1"/>
  <c r="CD38" i="35569"/>
  <c r="EB38" i="35569" s="1"/>
  <c r="CF38" i="35569"/>
  <c r="EC38" i="35569" s="1"/>
  <c r="CH38" i="35569"/>
  <c r="ED38" i="35569" s="1"/>
  <c r="CJ38" i="35569"/>
  <c r="EE38" i="35569" s="1"/>
  <c r="CL38" i="35569"/>
  <c r="EF38" i="35569" s="1"/>
  <c r="CN38" i="35569"/>
  <c r="EG38" i="35569" s="1"/>
  <c r="CP38" i="35569"/>
  <c r="EH38" i="35569" s="1"/>
  <c r="CR38" i="35569"/>
  <c r="EI38" i="35569" s="1"/>
  <c r="EK38" i="35569"/>
  <c r="EL38" i="35569" s="1"/>
  <c r="EM38" i="35569"/>
  <c r="EN38" i="35569" s="1"/>
  <c r="EO38" i="35569"/>
  <c r="EP38" i="35569" s="1"/>
  <c r="EQ38" i="35569"/>
  <c r="ER38" i="35569" s="1"/>
  <c r="ES38" i="35569"/>
  <c r="ET38" i="35569" s="1"/>
  <c r="EU38" i="35569"/>
  <c r="EV38" i="35569" s="1"/>
  <c r="EW38" i="35569"/>
  <c r="EX38" i="35569" s="1"/>
  <c r="EY38" i="35569"/>
  <c r="EZ38" i="35569" s="1"/>
  <c r="FA38" i="35569"/>
  <c r="FB38" i="35569"/>
  <c r="FC38" i="35569"/>
  <c r="FD38" i="35569"/>
  <c r="FE38" i="35569"/>
  <c r="FF38" i="35569"/>
  <c r="FG38" i="35569"/>
  <c r="FH38" i="35569" s="1"/>
  <c r="AF39" i="35569"/>
  <c r="AG39" i="35569"/>
  <c r="AH39" i="35569"/>
  <c r="AI39" i="35569"/>
  <c r="AJ39" i="35569"/>
  <c r="AK39" i="35569"/>
  <c r="AL39" i="35569"/>
  <c r="AM39" i="35569"/>
  <c r="AN39" i="35569"/>
  <c r="AO39" i="35569"/>
  <c r="AP39" i="35569"/>
  <c r="AQ39" i="35569"/>
  <c r="AU39" i="35569"/>
  <c r="AV39" i="35569" s="1"/>
  <c r="AW39" i="35569"/>
  <c r="AX39" i="35569" s="1"/>
  <c r="AY39" i="35569"/>
  <c r="AZ39" i="35569" s="1"/>
  <c r="BA39" i="35569"/>
  <c r="BB39" i="35569" s="1"/>
  <c r="BC39" i="35569"/>
  <c r="BD39" i="35569" s="1"/>
  <c r="BE39" i="35569"/>
  <c r="BF39" i="35569" s="1"/>
  <c r="BG39" i="35569"/>
  <c r="BH39" i="35569" s="1"/>
  <c r="BI39" i="35569"/>
  <c r="BJ39" i="35569" s="1"/>
  <c r="BK39" i="35569"/>
  <c r="BL39" i="35569" s="1"/>
  <c r="BM39" i="35569"/>
  <c r="BN39" i="35569" s="1"/>
  <c r="BO39" i="35569"/>
  <c r="BP39" i="35569" s="1"/>
  <c r="BQ39" i="35569"/>
  <c r="BR39" i="35569" s="1"/>
  <c r="BV39" i="35569"/>
  <c r="DX39" i="35569" s="1"/>
  <c r="BX39" i="35569"/>
  <c r="DY39" i="35569" s="1"/>
  <c r="BZ39" i="35569"/>
  <c r="DZ39" i="35569" s="1"/>
  <c r="CB39" i="35569"/>
  <c r="EA39" i="35569" s="1"/>
  <c r="CD39" i="35569"/>
  <c r="EB39" i="35569" s="1"/>
  <c r="CF39" i="35569"/>
  <c r="EC39" i="35569" s="1"/>
  <c r="CH39" i="35569"/>
  <c r="ED39" i="35569" s="1"/>
  <c r="CJ39" i="35569"/>
  <c r="EE39" i="35569" s="1"/>
  <c r="CL39" i="35569"/>
  <c r="EF39" i="35569" s="1"/>
  <c r="CN39" i="35569"/>
  <c r="EG39" i="35569" s="1"/>
  <c r="CP39" i="35569"/>
  <c r="EH39" i="35569" s="1"/>
  <c r="CR39" i="35569"/>
  <c r="EI39" i="35569" s="1"/>
  <c r="EK39" i="35569"/>
  <c r="EL39" i="35569"/>
  <c r="EM39" i="35569"/>
  <c r="EN39" i="35569" s="1"/>
  <c r="EO39" i="35569"/>
  <c r="EP39" i="35569" s="1"/>
  <c r="EQ39" i="35569"/>
  <c r="ER39" i="35569" s="1"/>
  <c r="ES39" i="35569"/>
  <c r="ET39" i="35569" s="1"/>
  <c r="EU39" i="35569"/>
  <c r="EV39" i="35569" s="1"/>
  <c r="EW39" i="35569"/>
  <c r="EX39" i="35569" s="1"/>
  <c r="EY39" i="35569"/>
  <c r="EZ39" i="35569" s="1"/>
  <c r="FA39" i="35569"/>
  <c r="FB39" i="35569" s="1"/>
  <c r="FC39" i="35569"/>
  <c r="FD39" i="35569" s="1"/>
  <c r="FE39" i="35569"/>
  <c r="FF39" i="35569" s="1"/>
  <c r="FG39" i="35569"/>
  <c r="FH39" i="35569" s="1"/>
  <c r="AF40" i="35569"/>
  <c r="AG40" i="35569"/>
  <c r="AH40" i="35569"/>
  <c r="AI40" i="35569"/>
  <c r="AJ40" i="35569"/>
  <c r="AK40" i="35569"/>
  <c r="AL40" i="35569"/>
  <c r="AM40" i="35569"/>
  <c r="AN40" i="35569"/>
  <c r="AO40" i="35569"/>
  <c r="AP40" i="35569"/>
  <c r="AQ40" i="35569"/>
  <c r="AU40" i="35569"/>
  <c r="AV40" i="35569" s="1"/>
  <c r="AW40" i="35569"/>
  <c r="AX40" i="35569" s="1"/>
  <c r="AY40" i="35569"/>
  <c r="AZ40" i="35569" s="1"/>
  <c r="BA40" i="35569"/>
  <c r="BB40" i="35569" s="1"/>
  <c r="BC40" i="35569"/>
  <c r="BD40" i="35569" s="1"/>
  <c r="BE40" i="35569"/>
  <c r="BF40" i="35569" s="1"/>
  <c r="BG40" i="35569"/>
  <c r="BH40" i="35569" s="1"/>
  <c r="BI40" i="35569"/>
  <c r="BJ40" i="35569" s="1"/>
  <c r="BK40" i="35569"/>
  <c r="BL40" i="35569" s="1"/>
  <c r="BM40" i="35569"/>
  <c r="BN40" i="35569" s="1"/>
  <c r="BO40" i="35569"/>
  <c r="BP40" i="35569" s="1"/>
  <c r="BQ40" i="35569"/>
  <c r="BR40" i="35569" s="1"/>
  <c r="BV40" i="35569"/>
  <c r="DX40" i="35569" s="1"/>
  <c r="BX40" i="35569"/>
  <c r="DY40" i="35569" s="1"/>
  <c r="BZ40" i="35569"/>
  <c r="DZ40" i="35569" s="1"/>
  <c r="CB40" i="35569"/>
  <c r="EA40" i="35569" s="1"/>
  <c r="CD40" i="35569"/>
  <c r="EB40" i="35569" s="1"/>
  <c r="CF40" i="35569"/>
  <c r="EC40" i="35569" s="1"/>
  <c r="CH40" i="35569"/>
  <c r="ED40" i="35569" s="1"/>
  <c r="CJ40" i="35569"/>
  <c r="EE40" i="35569" s="1"/>
  <c r="CL40" i="35569"/>
  <c r="EF40" i="35569" s="1"/>
  <c r="CN40" i="35569"/>
  <c r="EG40" i="35569" s="1"/>
  <c r="CP40" i="35569"/>
  <c r="EH40" i="35569" s="1"/>
  <c r="CR40" i="35569"/>
  <c r="EI40" i="35569" s="1"/>
  <c r="EK40" i="35569"/>
  <c r="EL40" i="35569" s="1"/>
  <c r="EM40" i="35569"/>
  <c r="EN40" i="35569" s="1"/>
  <c r="EO40" i="35569"/>
  <c r="EP40" i="35569" s="1"/>
  <c r="EQ40" i="35569"/>
  <c r="ER40" i="35569" s="1"/>
  <c r="ES40" i="35569"/>
  <c r="ET40" i="35569"/>
  <c r="EU40" i="35569"/>
  <c r="EV40" i="35569" s="1"/>
  <c r="EW40" i="35569"/>
  <c r="EX40" i="35569" s="1"/>
  <c r="EY40" i="35569"/>
  <c r="EZ40" i="35569" s="1"/>
  <c r="FA40" i="35569"/>
  <c r="FB40" i="35569" s="1"/>
  <c r="FC40" i="35569"/>
  <c r="FD40" i="35569" s="1"/>
  <c r="FE40" i="35569"/>
  <c r="FF40" i="35569" s="1"/>
  <c r="FG40" i="35569"/>
  <c r="FH40" i="35569" s="1"/>
  <c r="AF41" i="35569"/>
  <c r="AG41" i="35569"/>
  <c r="AH41" i="35569"/>
  <c r="AI41" i="35569"/>
  <c r="AJ41" i="35569"/>
  <c r="AK41" i="35569"/>
  <c r="AL41" i="35569"/>
  <c r="AM41" i="35569"/>
  <c r="AN41" i="35569"/>
  <c r="AO41" i="35569"/>
  <c r="AP41" i="35569"/>
  <c r="AQ41" i="35569"/>
  <c r="AU41" i="35569"/>
  <c r="AV41" i="35569" s="1"/>
  <c r="AW41" i="35569"/>
  <c r="AX41" i="35569" s="1"/>
  <c r="AY41" i="35569"/>
  <c r="AZ41" i="35569" s="1"/>
  <c r="BA41" i="35569"/>
  <c r="BB41" i="35569" s="1"/>
  <c r="BC41" i="35569"/>
  <c r="BD41" i="35569" s="1"/>
  <c r="BE41" i="35569"/>
  <c r="BF41" i="35569" s="1"/>
  <c r="BG41" i="35569"/>
  <c r="BH41" i="35569" s="1"/>
  <c r="BI41" i="35569"/>
  <c r="BJ41" i="35569" s="1"/>
  <c r="BK41" i="35569"/>
  <c r="BL41" i="35569" s="1"/>
  <c r="BM41" i="35569"/>
  <c r="BN41" i="35569" s="1"/>
  <c r="BO41" i="35569"/>
  <c r="BP41" i="35569" s="1"/>
  <c r="BQ41" i="35569"/>
  <c r="BR41" i="35569" s="1"/>
  <c r="BV41" i="35569"/>
  <c r="DX41" i="35569" s="1"/>
  <c r="BX41" i="35569"/>
  <c r="DY41" i="35569" s="1"/>
  <c r="BZ41" i="35569"/>
  <c r="DZ41" i="35569" s="1"/>
  <c r="CB41" i="35569"/>
  <c r="EA41" i="35569" s="1"/>
  <c r="CD41" i="35569"/>
  <c r="EB41" i="35569" s="1"/>
  <c r="CF41" i="35569"/>
  <c r="EC41" i="35569" s="1"/>
  <c r="CH41" i="35569"/>
  <c r="ED41" i="35569" s="1"/>
  <c r="CJ41" i="35569"/>
  <c r="EE41" i="35569" s="1"/>
  <c r="CL41" i="35569"/>
  <c r="EF41" i="35569" s="1"/>
  <c r="CN41" i="35569"/>
  <c r="EG41" i="35569" s="1"/>
  <c r="CP41" i="35569"/>
  <c r="EH41" i="35569" s="1"/>
  <c r="CR41" i="35569"/>
  <c r="EI41" i="35569" s="1"/>
  <c r="EK41" i="35569"/>
  <c r="EL41" i="35569" s="1"/>
  <c r="EM41" i="35569"/>
  <c r="EN41" i="35569" s="1"/>
  <c r="EO41" i="35569"/>
  <c r="EP41" i="35569" s="1"/>
  <c r="EQ41" i="35569"/>
  <c r="ER41" i="35569" s="1"/>
  <c r="ES41" i="35569"/>
  <c r="ET41" i="35569" s="1"/>
  <c r="EU41" i="35569"/>
  <c r="EV41" i="35569" s="1"/>
  <c r="EW41" i="35569"/>
  <c r="EX41" i="35569" s="1"/>
  <c r="EY41" i="35569"/>
  <c r="EZ41" i="35569" s="1"/>
  <c r="FA41" i="35569"/>
  <c r="FB41" i="35569" s="1"/>
  <c r="FC41" i="35569"/>
  <c r="FD41" i="35569" s="1"/>
  <c r="FE41" i="35569"/>
  <c r="FF41" i="35569"/>
  <c r="FG41" i="35569"/>
  <c r="FH41" i="35569"/>
  <c r="AF42" i="35569"/>
  <c r="AG42" i="35569"/>
  <c r="AH42" i="35569"/>
  <c r="AI42" i="35569"/>
  <c r="AJ42" i="35569"/>
  <c r="AK42" i="35569"/>
  <c r="AL42" i="35569"/>
  <c r="AM42" i="35569"/>
  <c r="AN42" i="35569"/>
  <c r="AO42" i="35569"/>
  <c r="AP42" i="35569"/>
  <c r="AQ42" i="35569"/>
  <c r="AU42" i="35569"/>
  <c r="AV42" i="35569" s="1"/>
  <c r="AW42" i="35569"/>
  <c r="AX42" i="35569" s="1"/>
  <c r="AY42" i="35569"/>
  <c r="AZ42" i="35569" s="1"/>
  <c r="BA42" i="35569"/>
  <c r="BB42" i="35569" s="1"/>
  <c r="BC42" i="35569"/>
  <c r="BD42" i="35569" s="1"/>
  <c r="BE42" i="35569"/>
  <c r="BF42" i="35569" s="1"/>
  <c r="BG42" i="35569"/>
  <c r="BH42" i="35569" s="1"/>
  <c r="BI42" i="35569"/>
  <c r="BJ42" i="35569" s="1"/>
  <c r="BK42" i="35569"/>
  <c r="BL42" i="35569" s="1"/>
  <c r="BM42" i="35569"/>
  <c r="BN42" i="35569" s="1"/>
  <c r="BO42" i="35569"/>
  <c r="BP42" i="35569" s="1"/>
  <c r="BQ42" i="35569"/>
  <c r="BR42" i="35569" s="1"/>
  <c r="BV42" i="35569"/>
  <c r="DX42" i="35569" s="1"/>
  <c r="BX42" i="35569"/>
  <c r="DY42" i="35569" s="1"/>
  <c r="BZ42" i="35569"/>
  <c r="DZ42" i="35569" s="1"/>
  <c r="CB42" i="35569"/>
  <c r="EA42" i="35569" s="1"/>
  <c r="CD42" i="35569"/>
  <c r="EB42" i="35569" s="1"/>
  <c r="CF42" i="35569"/>
  <c r="EC42" i="35569" s="1"/>
  <c r="CH42" i="35569"/>
  <c r="ED42" i="35569" s="1"/>
  <c r="CJ42" i="35569"/>
  <c r="EE42" i="35569" s="1"/>
  <c r="CL42" i="35569"/>
  <c r="EF42" i="35569" s="1"/>
  <c r="CN42" i="35569"/>
  <c r="EG42" i="35569" s="1"/>
  <c r="CP42" i="35569"/>
  <c r="EH42" i="35569" s="1"/>
  <c r="CR42" i="35569"/>
  <c r="EI42" i="35569" s="1"/>
  <c r="EK42" i="35569"/>
  <c r="EL42" i="35569" s="1"/>
  <c r="EM42" i="35569"/>
  <c r="EN42" i="35569" s="1"/>
  <c r="EO42" i="35569"/>
  <c r="EP42" i="35569" s="1"/>
  <c r="EQ42" i="35569"/>
  <c r="ER42" i="35569" s="1"/>
  <c r="ES42" i="35569"/>
  <c r="ET42" i="35569" s="1"/>
  <c r="EU42" i="35569"/>
  <c r="EV42" i="35569" s="1"/>
  <c r="EW42" i="35569"/>
  <c r="EX42" i="35569"/>
  <c r="EY42" i="35569"/>
  <c r="EZ42" i="35569" s="1"/>
  <c r="FA42" i="35569"/>
  <c r="FB42" i="35569" s="1"/>
  <c r="FC42" i="35569"/>
  <c r="FD42" i="35569" s="1"/>
  <c r="FE42" i="35569"/>
  <c r="FF42" i="35569" s="1"/>
  <c r="FG42" i="35569"/>
  <c r="FH42" i="35569" s="1"/>
  <c r="AF43" i="35569"/>
  <c r="AG43" i="35569"/>
  <c r="AH43" i="35569"/>
  <c r="AI43" i="35569"/>
  <c r="AJ43" i="35569"/>
  <c r="AK43" i="35569"/>
  <c r="AL43" i="35569"/>
  <c r="AM43" i="35569"/>
  <c r="AN43" i="35569"/>
  <c r="AO43" i="35569"/>
  <c r="AP43" i="35569"/>
  <c r="AQ43" i="35569"/>
  <c r="AU43" i="35569"/>
  <c r="AV43" i="35569" s="1"/>
  <c r="AW43" i="35569"/>
  <c r="AX43" i="35569" s="1"/>
  <c r="AY43" i="35569"/>
  <c r="AZ43" i="35569" s="1"/>
  <c r="BA43" i="35569"/>
  <c r="BB43" i="35569" s="1"/>
  <c r="BC43" i="35569"/>
  <c r="BD43" i="35569" s="1"/>
  <c r="BE43" i="35569"/>
  <c r="BF43" i="35569" s="1"/>
  <c r="BG43" i="35569"/>
  <c r="BH43" i="35569" s="1"/>
  <c r="BI43" i="35569"/>
  <c r="BJ43" i="35569" s="1"/>
  <c r="BK43" i="35569"/>
  <c r="BL43" i="35569" s="1"/>
  <c r="BM43" i="35569"/>
  <c r="BN43" i="35569" s="1"/>
  <c r="BO43" i="35569"/>
  <c r="BP43" i="35569" s="1"/>
  <c r="BQ43" i="35569"/>
  <c r="BR43" i="35569" s="1"/>
  <c r="BV43" i="35569"/>
  <c r="DX43" i="35569" s="1"/>
  <c r="BX43" i="35569"/>
  <c r="DY43" i="35569" s="1"/>
  <c r="BZ43" i="35569"/>
  <c r="DZ43" i="35569" s="1"/>
  <c r="CB43" i="35569"/>
  <c r="EA43" i="35569" s="1"/>
  <c r="CD43" i="35569"/>
  <c r="EB43" i="35569" s="1"/>
  <c r="CF43" i="35569"/>
  <c r="EC43" i="35569" s="1"/>
  <c r="CH43" i="35569"/>
  <c r="ED43" i="35569" s="1"/>
  <c r="CJ43" i="35569"/>
  <c r="EE43" i="35569" s="1"/>
  <c r="CL43" i="35569"/>
  <c r="EF43" i="35569" s="1"/>
  <c r="CN43" i="35569"/>
  <c r="EG43" i="35569" s="1"/>
  <c r="CP43" i="35569"/>
  <c r="EH43" i="35569" s="1"/>
  <c r="CR43" i="35569"/>
  <c r="EI43" i="35569" s="1"/>
  <c r="EK43" i="35569"/>
  <c r="EL43" i="35569" s="1"/>
  <c r="EM43" i="35569"/>
  <c r="EN43" i="35569" s="1"/>
  <c r="EO43" i="35569"/>
  <c r="EP43" i="35569" s="1"/>
  <c r="EQ43" i="35569"/>
  <c r="ER43" i="35569"/>
  <c r="ES43" i="35569"/>
  <c r="ET43" i="35569" s="1"/>
  <c r="EU43" i="35569"/>
  <c r="EV43" i="35569" s="1"/>
  <c r="EW43" i="35569"/>
  <c r="EX43" i="35569"/>
  <c r="EY43" i="35569"/>
  <c r="EZ43" i="35569" s="1"/>
  <c r="FA43" i="35569"/>
  <c r="FB43" i="35569" s="1"/>
  <c r="FC43" i="35569"/>
  <c r="FD43" i="35569" s="1"/>
  <c r="FE43" i="35569"/>
  <c r="FF43" i="35569" s="1"/>
  <c r="FG43" i="35569"/>
  <c r="FH43" i="35569"/>
  <c r="AF44" i="35569"/>
  <c r="AG44" i="35569"/>
  <c r="AH44" i="35569"/>
  <c r="AI44" i="35569"/>
  <c r="AJ44" i="35569"/>
  <c r="AK44" i="35569"/>
  <c r="AL44" i="35569"/>
  <c r="AM44" i="35569"/>
  <c r="AN44" i="35569"/>
  <c r="AO44" i="35569"/>
  <c r="AP44" i="35569"/>
  <c r="AQ44" i="35569"/>
  <c r="AU44" i="35569"/>
  <c r="AV44" i="35569" s="1"/>
  <c r="AW44" i="35569"/>
  <c r="AX44" i="35569" s="1"/>
  <c r="AY44" i="35569"/>
  <c r="AZ44" i="35569" s="1"/>
  <c r="BA44" i="35569"/>
  <c r="BB44" i="35569" s="1"/>
  <c r="BC44" i="35569"/>
  <c r="BD44" i="35569" s="1"/>
  <c r="BE44" i="35569"/>
  <c r="BF44" i="35569" s="1"/>
  <c r="BG44" i="35569"/>
  <c r="BH44" i="35569" s="1"/>
  <c r="BI44" i="35569"/>
  <c r="BJ44" i="35569" s="1"/>
  <c r="BK44" i="35569"/>
  <c r="BL44" i="35569" s="1"/>
  <c r="BM44" i="35569"/>
  <c r="BN44" i="35569" s="1"/>
  <c r="BO44" i="35569"/>
  <c r="BP44" i="35569" s="1"/>
  <c r="BQ44" i="35569"/>
  <c r="BR44" i="35569" s="1"/>
  <c r="BV44" i="35569"/>
  <c r="DX44" i="35569" s="1"/>
  <c r="BX44" i="35569"/>
  <c r="DY44" i="35569" s="1"/>
  <c r="BZ44" i="35569"/>
  <c r="DZ44" i="35569" s="1"/>
  <c r="CB44" i="35569"/>
  <c r="EA44" i="35569" s="1"/>
  <c r="CD44" i="35569"/>
  <c r="EB44" i="35569" s="1"/>
  <c r="CF44" i="35569"/>
  <c r="EC44" i="35569" s="1"/>
  <c r="CH44" i="35569"/>
  <c r="ED44" i="35569" s="1"/>
  <c r="CJ44" i="35569"/>
  <c r="EE44" i="35569" s="1"/>
  <c r="CL44" i="35569"/>
  <c r="EF44" i="35569" s="1"/>
  <c r="CN44" i="35569"/>
  <c r="EG44" i="35569" s="1"/>
  <c r="CP44" i="35569"/>
  <c r="EH44" i="35569" s="1"/>
  <c r="CR44" i="35569"/>
  <c r="EI44" i="35569" s="1"/>
  <c r="EK44" i="35569"/>
  <c r="EL44" i="35569" s="1"/>
  <c r="EM44" i="35569"/>
  <c r="EN44" i="35569" s="1"/>
  <c r="EO44" i="35569"/>
  <c r="EP44" i="35569" s="1"/>
  <c r="EQ44" i="35569"/>
  <c r="ER44" i="35569" s="1"/>
  <c r="ES44" i="35569"/>
  <c r="ET44" i="35569" s="1"/>
  <c r="EU44" i="35569"/>
  <c r="EV44" i="35569" s="1"/>
  <c r="EW44" i="35569"/>
  <c r="EX44" i="35569" s="1"/>
  <c r="EY44" i="35569"/>
  <c r="EZ44" i="35569" s="1"/>
  <c r="FA44" i="35569"/>
  <c r="FB44" i="35569" s="1"/>
  <c r="FC44" i="35569"/>
  <c r="FD44" i="35569" s="1"/>
  <c r="FE44" i="35569"/>
  <c r="FF44" i="35569" s="1"/>
  <c r="FG44" i="35569"/>
  <c r="FH44" i="35569" s="1"/>
  <c r="AF45" i="35569"/>
  <c r="AG45" i="35569"/>
  <c r="AH45" i="35569"/>
  <c r="AI45" i="35569"/>
  <c r="AJ45" i="35569"/>
  <c r="AK45" i="35569"/>
  <c r="AL45" i="35569"/>
  <c r="AM45" i="35569"/>
  <c r="AN45" i="35569"/>
  <c r="AO45" i="35569"/>
  <c r="AP45" i="35569"/>
  <c r="AQ45" i="35569"/>
  <c r="AU45" i="35569"/>
  <c r="AV45" i="35569" s="1"/>
  <c r="AW45" i="35569"/>
  <c r="AX45" i="35569" s="1"/>
  <c r="AY45" i="35569"/>
  <c r="AZ45" i="35569" s="1"/>
  <c r="BA45" i="35569"/>
  <c r="BB45" i="35569" s="1"/>
  <c r="BC45" i="35569"/>
  <c r="BD45" i="35569" s="1"/>
  <c r="BE45" i="35569"/>
  <c r="BF45" i="35569" s="1"/>
  <c r="BG45" i="35569"/>
  <c r="BH45" i="35569" s="1"/>
  <c r="BI45" i="35569"/>
  <c r="BJ45" i="35569" s="1"/>
  <c r="BK45" i="35569"/>
  <c r="BL45" i="35569" s="1"/>
  <c r="BM45" i="35569"/>
  <c r="BN45" i="35569" s="1"/>
  <c r="BO45" i="35569"/>
  <c r="BP45" i="35569" s="1"/>
  <c r="BQ45" i="35569"/>
  <c r="BR45" i="35569" s="1"/>
  <c r="BV45" i="35569"/>
  <c r="DX45" i="35569" s="1"/>
  <c r="BX45" i="35569"/>
  <c r="DY45" i="35569" s="1"/>
  <c r="BZ45" i="35569"/>
  <c r="DZ45" i="35569" s="1"/>
  <c r="CB45" i="35569"/>
  <c r="EA45" i="35569" s="1"/>
  <c r="CD45" i="35569"/>
  <c r="EB45" i="35569" s="1"/>
  <c r="CF45" i="35569"/>
  <c r="EC45" i="35569" s="1"/>
  <c r="CH45" i="35569"/>
  <c r="ED45" i="35569" s="1"/>
  <c r="CJ45" i="35569"/>
  <c r="EE45" i="35569" s="1"/>
  <c r="CL45" i="35569"/>
  <c r="EF45" i="35569" s="1"/>
  <c r="CN45" i="35569"/>
  <c r="EG45" i="35569" s="1"/>
  <c r="CP45" i="35569"/>
  <c r="EH45" i="35569" s="1"/>
  <c r="CR45" i="35569"/>
  <c r="EI45" i="35569" s="1"/>
  <c r="EK45" i="35569"/>
  <c r="EL45" i="35569"/>
  <c r="EM45" i="35569"/>
  <c r="EN45" i="35569" s="1"/>
  <c r="EO45" i="35569"/>
  <c r="EP45" i="35569" s="1"/>
  <c r="EQ45" i="35569"/>
  <c r="ER45" i="35569" s="1"/>
  <c r="ES45" i="35569"/>
  <c r="ET45" i="35569" s="1"/>
  <c r="EU45" i="35569"/>
  <c r="EV45" i="35569" s="1"/>
  <c r="EW45" i="35569"/>
  <c r="EX45" i="35569" s="1"/>
  <c r="EY45" i="35569"/>
  <c r="EZ45" i="35569" s="1"/>
  <c r="FA45" i="35569"/>
  <c r="FB45" i="35569" s="1"/>
  <c r="FC45" i="35569"/>
  <c r="FD45" i="35569" s="1"/>
  <c r="FE45" i="35569"/>
  <c r="FF45" i="35569" s="1"/>
  <c r="FG45" i="35569"/>
  <c r="FH45" i="35569" s="1"/>
  <c r="AF46" i="35569"/>
  <c r="AG46" i="35569"/>
  <c r="AH46" i="35569"/>
  <c r="AI46" i="35569"/>
  <c r="AJ46" i="35569"/>
  <c r="AK46" i="35569"/>
  <c r="AL46" i="35569"/>
  <c r="AM46" i="35569"/>
  <c r="AN46" i="35569"/>
  <c r="AO46" i="35569"/>
  <c r="AP46" i="35569"/>
  <c r="AQ46" i="35569"/>
  <c r="AU46" i="35569"/>
  <c r="AV46" i="35569" s="1"/>
  <c r="AW46" i="35569"/>
  <c r="AX46" i="35569" s="1"/>
  <c r="AY46" i="35569"/>
  <c r="AZ46" i="35569" s="1"/>
  <c r="BA46" i="35569"/>
  <c r="BB46" i="35569" s="1"/>
  <c r="BC46" i="35569"/>
  <c r="BD46" i="35569" s="1"/>
  <c r="BE46" i="35569"/>
  <c r="BF46" i="35569" s="1"/>
  <c r="BG46" i="35569"/>
  <c r="BH46" i="35569" s="1"/>
  <c r="BI46" i="35569"/>
  <c r="BJ46" i="35569" s="1"/>
  <c r="BK46" i="35569"/>
  <c r="BL46" i="35569" s="1"/>
  <c r="BM46" i="35569"/>
  <c r="BN46" i="35569" s="1"/>
  <c r="BO46" i="35569"/>
  <c r="BP46" i="35569" s="1"/>
  <c r="BQ46" i="35569"/>
  <c r="BR46" i="35569" s="1"/>
  <c r="BV46" i="35569"/>
  <c r="DX46" i="35569" s="1"/>
  <c r="BX46" i="35569"/>
  <c r="DY46" i="35569" s="1"/>
  <c r="BZ46" i="35569"/>
  <c r="DZ46" i="35569" s="1"/>
  <c r="CB46" i="35569"/>
  <c r="EA46" i="35569" s="1"/>
  <c r="CD46" i="35569"/>
  <c r="EB46" i="35569" s="1"/>
  <c r="CF46" i="35569"/>
  <c r="EC46" i="35569" s="1"/>
  <c r="CH46" i="35569"/>
  <c r="ED46" i="35569" s="1"/>
  <c r="CJ46" i="35569"/>
  <c r="CL46" i="35569"/>
  <c r="EF46" i="35569" s="1"/>
  <c r="CN46" i="35569"/>
  <c r="EG46" i="35569" s="1"/>
  <c r="CP46" i="35569"/>
  <c r="EH46" i="35569" s="1"/>
  <c r="CR46" i="35569"/>
  <c r="EI46" i="35569" s="1"/>
  <c r="EE46" i="35569"/>
  <c r="EK46" i="35569"/>
  <c r="EL46" i="35569" s="1"/>
  <c r="EM46" i="35569"/>
  <c r="EN46" i="35569" s="1"/>
  <c r="EO46" i="35569"/>
  <c r="EP46" i="35569"/>
  <c r="EQ46" i="35569"/>
  <c r="ER46" i="35569" s="1"/>
  <c r="ES46" i="35569"/>
  <c r="ET46" i="35569" s="1"/>
  <c r="EU46" i="35569"/>
  <c r="EV46" i="35569" s="1"/>
  <c r="EW46" i="35569"/>
  <c r="EX46" i="35569" s="1"/>
  <c r="EY46" i="35569"/>
  <c r="EZ46" i="35569" s="1"/>
  <c r="FA46" i="35569"/>
  <c r="FB46" i="35569" s="1"/>
  <c r="FC46" i="35569"/>
  <c r="FD46" i="35569" s="1"/>
  <c r="FE46" i="35569"/>
  <c r="FF46" i="35569" s="1"/>
  <c r="FG46" i="35569"/>
  <c r="FH46" i="35569" s="1"/>
  <c r="AF47" i="35569"/>
  <c r="AG47" i="35569"/>
  <c r="AH47" i="35569"/>
  <c r="AI47" i="35569"/>
  <c r="AJ47" i="35569"/>
  <c r="AK47" i="35569"/>
  <c r="AL47" i="35569"/>
  <c r="AM47" i="35569"/>
  <c r="AN47" i="35569"/>
  <c r="AO47" i="35569"/>
  <c r="AP47" i="35569"/>
  <c r="AQ47" i="35569"/>
  <c r="AU47" i="35569"/>
  <c r="AV47" i="35569" s="1"/>
  <c r="AW47" i="35569"/>
  <c r="AX47" i="35569" s="1"/>
  <c r="AY47" i="35569"/>
  <c r="AZ47" i="35569" s="1"/>
  <c r="BA47" i="35569"/>
  <c r="BB47" i="35569" s="1"/>
  <c r="BC47" i="35569"/>
  <c r="BD47" i="35569" s="1"/>
  <c r="BE47" i="35569"/>
  <c r="BF47" i="35569" s="1"/>
  <c r="BG47" i="35569"/>
  <c r="BH47" i="35569" s="1"/>
  <c r="BI47" i="35569"/>
  <c r="BJ47" i="35569" s="1"/>
  <c r="BK47" i="35569"/>
  <c r="BL47" i="35569" s="1"/>
  <c r="BM47" i="35569"/>
  <c r="BN47" i="35569" s="1"/>
  <c r="BO47" i="35569"/>
  <c r="BP47" i="35569" s="1"/>
  <c r="BQ47" i="35569"/>
  <c r="BR47" i="35569" s="1"/>
  <c r="BV47" i="35569"/>
  <c r="DX47" i="35569" s="1"/>
  <c r="BX47" i="35569"/>
  <c r="DY47" i="35569" s="1"/>
  <c r="BZ47" i="35569"/>
  <c r="DZ47" i="35569" s="1"/>
  <c r="CB47" i="35569"/>
  <c r="EA47" i="35569" s="1"/>
  <c r="CD47" i="35569"/>
  <c r="CF47" i="35569"/>
  <c r="EC47" i="35569" s="1"/>
  <c r="CH47" i="35569"/>
  <c r="ED47" i="35569" s="1"/>
  <c r="CJ47" i="35569"/>
  <c r="EE47" i="35569" s="1"/>
  <c r="CL47" i="35569"/>
  <c r="EF47" i="35569" s="1"/>
  <c r="CN47" i="35569"/>
  <c r="EG47" i="35569" s="1"/>
  <c r="CP47" i="35569"/>
  <c r="EH47" i="35569" s="1"/>
  <c r="CR47" i="35569"/>
  <c r="EI47" i="35569" s="1"/>
  <c r="EB47" i="35569"/>
  <c r="EK47" i="35569"/>
  <c r="EL47" i="35569" s="1"/>
  <c r="EM47" i="35569"/>
  <c r="EN47" i="35569" s="1"/>
  <c r="EO47" i="35569"/>
  <c r="EP47" i="35569"/>
  <c r="EQ47" i="35569"/>
  <c r="ER47" i="35569"/>
  <c r="ES47" i="35569"/>
  <c r="ET47" i="35569" s="1"/>
  <c r="EU47" i="35569"/>
  <c r="EV47" i="35569" s="1"/>
  <c r="EW47" i="35569"/>
  <c r="EX47" i="35569"/>
  <c r="EY47" i="35569"/>
  <c r="EZ47" i="35569"/>
  <c r="FA47" i="35569"/>
  <c r="FB47" i="35569" s="1"/>
  <c r="FC47" i="35569"/>
  <c r="FD47" i="35569" s="1"/>
  <c r="FE47" i="35569"/>
  <c r="FF47" i="35569"/>
  <c r="FG47" i="35569"/>
  <c r="FH47" i="35569"/>
  <c r="AF48" i="35569"/>
  <c r="AG48" i="35569"/>
  <c r="AH48" i="35569"/>
  <c r="AI48" i="35569"/>
  <c r="AJ48" i="35569"/>
  <c r="AK48" i="35569"/>
  <c r="AL48" i="35569"/>
  <c r="AM48" i="35569"/>
  <c r="AN48" i="35569"/>
  <c r="AO48" i="35569"/>
  <c r="AP48" i="35569"/>
  <c r="AQ48" i="35569"/>
  <c r="AU48" i="35569"/>
  <c r="AV48" i="35569" s="1"/>
  <c r="AW48" i="35569"/>
  <c r="AX48" i="35569" s="1"/>
  <c r="AY48" i="35569"/>
  <c r="AZ48" i="35569" s="1"/>
  <c r="BA48" i="35569"/>
  <c r="BB48" i="35569" s="1"/>
  <c r="BC48" i="35569"/>
  <c r="BD48" i="35569" s="1"/>
  <c r="BE48" i="35569"/>
  <c r="BF48" i="35569" s="1"/>
  <c r="BG48" i="35569"/>
  <c r="BH48" i="35569" s="1"/>
  <c r="BI48" i="35569"/>
  <c r="BJ48" i="35569" s="1"/>
  <c r="BK48" i="35569"/>
  <c r="BL48" i="35569" s="1"/>
  <c r="BM48" i="35569"/>
  <c r="BN48" i="35569" s="1"/>
  <c r="BO48" i="35569"/>
  <c r="BP48" i="35569" s="1"/>
  <c r="BQ48" i="35569"/>
  <c r="BR48" i="35569" s="1"/>
  <c r="BV48" i="35569"/>
  <c r="DX48" i="35569" s="1"/>
  <c r="BX48" i="35569"/>
  <c r="DY48" i="35569" s="1"/>
  <c r="BZ48" i="35569"/>
  <c r="DZ48" i="35569" s="1"/>
  <c r="CB48" i="35569"/>
  <c r="EA48" i="35569" s="1"/>
  <c r="CD48" i="35569"/>
  <c r="EB48" i="35569" s="1"/>
  <c r="CF48" i="35569"/>
  <c r="EC48" i="35569" s="1"/>
  <c r="CH48" i="35569"/>
  <c r="ED48" i="35569" s="1"/>
  <c r="CJ48" i="35569"/>
  <c r="CL48" i="35569"/>
  <c r="EF48" i="35569" s="1"/>
  <c r="CN48" i="35569"/>
  <c r="EG48" i="35569" s="1"/>
  <c r="CP48" i="35569"/>
  <c r="EH48" i="35569" s="1"/>
  <c r="CR48" i="35569"/>
  <c r="EI48" i="35569" s="1"/>
  <c r="EE48" i="35569"/>
  <c r="EK48" i="35569"/>
  <c r="EL48" i="35569" s="1"/>
  <c r="EM48" i="35569"/>
  <c r="EN48" i="35569"/>
  <c r="EO48" i="35569"/>
  <c r="EP48" i="35569" s="1"/>
  <c r="EQ48" i="35569"/>
  <c r="ER48" i="35569" s="1"/>
  <c r="ES48" i="35569"/>
  <c r="ET48" i="35569" s="1"/>
  <c r="EU48" i="35569"/>
  <c r="EV48" i="35569" s="1"/>
  <c r="EW48" i="35569"/>
  <c r="EX48" i="35569" s="1"/>
  <c r="EY48" i="35569"/>
  <c r="EZ48" i="35569" s="1"/>
  <c r="FA48" i="35569"/>
  <c r="FB48" i="35569" s="1"/>
  <c r="FC48" i="35569"/>
  <c r="FD48" i="35569" s="1"/>
  <c r="FE48" i="35569"/>
  <c r="FF48" i="35569" s="1"/>
  <c r="FG48" i="35569"/>
  <c r="FH48" i="35569" s="1"/>
  <c r="AF49" i="35569"/>
  <c r="AG49" i="35569"/>
  <c r="AH49" i="35569"/>
  <c r="AI49" i="35569"/>
  <c r="AJ49" i="35569"/>
  <c r="AK49" i="35569"/>
  <c r="AL49" i="35569"/>
  <c r="AM49" i="35569"/>
  <c r="AN49" i="35569"/>
  <c r="AO49" i="35569"/>
  <c r="AP49" i="35569"/>
  <c r="AQ49" i="35569"/>
  <c r="AU49" i="35569"/>
  <c r="AV49" i="35569" s="1"/>
  <c r="AW49" i="35569"/>
  <c r="AX49" i="35569" s="1"/>
  <c r="AY49" i="35569"/>
  <c r="AZ49" i="35569" s="1"/>
  <c r="BA49" i="35569"/>
  <c r="BB49" i="35569" s="1"/>
  <c r="BC49" i="35569"/>
  <c r="BD49" i="35569" s="1"/>
  <c r="BE49" i="35569"/>
  <c r="BF49" i="35569" s="1"/>
  <c r="BG49" i="35569"/>
  <c r="BH49" i="35569" s="1"/>
  <c r="BI49" i="35569"/>
  <c r="BJ49" i="35569" s="1"/>
  <c r="BK49" i="35569"/>
  <c r="BL49" i="35569" s="1"/>
  <c r="BM49" i="35569"/>
  <c r="BN49" i="35569" s="1"/>
  <c r="BO49" i="35569"/>
  <c r="BP49" i="35569" s="1"/>
  <c r="BQ49" i="35569"/>
  <c r="BR49" i="35569" s="1"/>
  <c r="BV49" i="35569"/>
  <c r="DX49" i="35569" s="1"/>
  <c r="BX49" i="35569"/>
  <c r="DY49" i="35569" s="1"/>
  <c r="BZ49" i="35569"/>
  <c r="DZ49" i="35569" s="1"/>
  <c r="CB49" i="35569"/>
  <c r="EA49" i="35569" s="1"/>
  <c r="CD49" i="35569"/>
  <c r="EB49" i="35569" s="1"/>
  <c r="CF49" i="35569"/>
  <c r="EC49" i="35569" s="1"/>
  <c r="CH49" i="35569"/>
  <c r="ED49" i="35569" s="1"/>
  <c r="CJ49" i="35569"/>
  <c r="EE49" i="35569" s="1"/>
  <c r="CL49" i="35569"/>
  <c r="EF49" i="35569" s="1"/>
  <c r="CN49" i="35569"/>
  <c r="EG49" i="35569" s="1"/>
  <c r="CP49" i="35569"/>
  <c r="EH49" i="35569" s="1"/>
  <c r="CR49" i="35569"/>
  <c r="EI49" i="35569" s="1"/>
  <c r="EK49" i="35569"/>
  <c r="EL49" i="35569" s="1"/>
  <c r="EM49" i="35569"/>
  <c r="EN49" i="35569" s="1"/>
  <c r="EO49" i="35569"/>
  <c r="EP49" i="35569" s="1"/>
  <c r="EQ49" i="35569"/>
  <c r="ER49" i="35569"/>
  <c r="ES49" i="35569"/>
  <c r="ET49" i="35569"/>
  <c r="EU49" i="35569"/>
  <c r="EV49" i="35569" s="1"/>
  <c r="EW49" i="35569"/>
  <c r="EX49" i="35569" s="1"/>
  <c r="EY49" i="35569"/>
  <c r="EZ49" i="35569"/>
  <c r="FA49" i="35569"/>
  <c r="FB49" i="35569"/>
  <c r="FC49" i="35569"/>
  <c r="FD49" i="35569" s="1"/>
  <c r="FE49" i="35569"/>
  <c r="FF49" i="35569" s="1"/>
  <c r="FG49" i="35569"/>
  <c r="FH49" i="35569"/>
  <c r="AF50" i="35569"/>
  <c r="AG50" i="35569"/>
  <c r="AH50" i="35569"/>
  <c r="AI50" i="35569"/>
  <c r="AJ50" i="35569"/>
  <c r="AK50" i="35569"/>
  <c r="AL50" i="35569"/>
  <c r="AM50" i="35569"/>
  <c r="AN50" i="35569"/>
  <c r="AO50" i="35569"/>
  <c r="AP50" i="35569"/>
  <c r="AQ50" i="35569"/>
  <c r="AU50" i="35569"/>
  <c r="AV50" i="35569" s="1"/>
  <c r="AW50" i="35569"/>
  <c r="AX50" i="35569" s="1"/>
  <c r="AY50" i="35569"/>
  <c r="AZ50" i="35569" s="1"/>
  <c r="BA50" i="35569"/>
  <c r="BB50" i="35569" s="1"/>
  <c r="BC50" i="35569"/>
  <c r="BD50" i="35569" s="1"/>
  <c r="BE50" i="35569"/>
  <c r="BF50" i="35569" s="1"/>
  <c r="BG50" i="35569"/>
  <c r="BH50" i="35569" s="1"/>
  <c r="BI50" i="35569"/>
  <c r="BJ50" i="35569" s="1"/>
  <c r="BK50" i="35569"/>
  <c r="BL50" i="35569" s="1"/>
  <c r="BM50" i="35569"/>
  <c r="BN50" i="35569" s="1"/>
  <c r="BO50" i="35569"/>
  <c r="BP50" i="35569" s="1"/>
  <c r="BQ50" i="35569"/>
  <c r="BR50" i="35569" s="1"/>
  <c r="BV50" i="35569"/>
  <c r="DX50" i="35569" s="1"/>
  <c r="BX50" i="35569"/>
  <c r="DY50" i="35569" s="1"/>
  <c r="BZ50" i="35569"/>
  <c r="DZ50" i="35569" s="1"/>
  <c r="CB50" i="35569"/>
  <c r="EA50" i="35569" s="1"/>
  <c r="CD50" i="35569"/>
  <c r="CF50" i="35569"/>
  <c r="EC50" i="35569" s="1"/>
  <c r="CH50" i="35569"/>
  <c r="ED50" i="35569" s="1"/>
  <c r="CJ50" i="35569"/>
  <c r="EE50" i="35569" s="1"/>
  <c r="CL50" i="35569"/>
  <c r="EF50" i="35569" s="1"/>
  <c r="CN50" i="35569"/>
  <c r="EG50" i="35569" s="1"/>
  <c r="CP50" i="35569"/>
  <c r="EH50" i="35569" s="1"/>
  <c r="CR50" i="35569"/>
  <c r="EI50" i="35569" s="1"/>
  <c r="EB50" i="35569"/>
  <c r="EK50" i="35569"/>
  <c r="EL50" i="35569" s="1"/>
  <c r="EM50" i="35569"/>
  <c r="EN50" i="35569"/>
  <c r="EO50" i="35569"/>
  <c r="EP50" i="35569"/>
  <c r="EQ50" i="35569"/>
  <c r="ER50" i="35569" s="1"/>
  <c r="ES50" i="35569"/>
  <c r="ET50" i="35569" s="1"/>
  <c r="EU50" i="35569"/>
  <c r="EV50" i="35569"/>
  <c r="EW50" i="35569"/>
  <c r="EX50" i="35569"/>
  <c r="EY50" i="35569"/>
  <c r="EZ50" i="35569" s="1"/>
  <c r="FA50" i="35569"/>
  <c r="FB50" i="35569" s="1"/>
  <c r="FC50" i="35569"/>
  <c r="FD50" i="35569"/>
  <c r="FE50" i="35569"/>
  <c r="FF50" i="35569" s="1"/>
  <c r="FG50" i="35569"/>
  <c r="FH50" i="35569" s="1"/>
  <c r="AF51" i="35569"/>
  <c r="AG51" i="35569"/>
  <c r="AH51" i="35569"/>
  <c r="AI51" i="35569"/>
  <c r="AJ51" i="35569"/>
  <c r="AK51" i="35569"/>
  <c r="AL51" i="35569"/>
  <c r="AM51" i="35569"/>
  <c r="AN51" i="35569"/>
  <c r="AO51" i="35569"/>
  <c r="AP51" i="35569"/>
  <c r="AQ51" i="35569"/>
  <c r="AU51" i="35569"/>
  <c r="AV51" i="35569" s="1"/>
  <c r="AW51" i="35569"/>
  <c r="AX51" i="35569" s="1"/>
  <c r="AY51" i="35569"/>
  <c r="AZ51" i="35569" s="1"/>
  <c r="BA51" i="35569"/>
  <c r="BB51" i="35569" s="1"/>
  <c r="BC51" i="35569"/>
  <c r="BD51" i="35569" s="1"/>
  <c r="BE51" i="35569"/>
  <c r="BF51" i="35569" s="1"/>
  <c r="BG51" i="35569"/>
  <c r="BH51" i="35569" s="1"/>
  <c r="BI51" i="35569"/>
  <c r="BJ51" i="35569" s="1"/>
  <c r="BK51" i="35569"/>
  <c r="BL51" i="35569" s="1"/>
  <c r="BM51" i="35569"/>
  <c r="BN51" i="35569" s="1"/>
  <c r="BO51" i="35569"/>
  <c r="BP51" i="35569" s="1"/>
  <c r="BQ51" i="35569"/>
  <c r="BR51" i="35569" s="1"/>
  <c r="BV51" i="35569"/>
  <c r="DX51" i="35569" s="1"/>
  <c r="BX51" i="35569"/>
  <c r="DY51" i="35569" s="1"/>
  <c r="BZ51" i="35569"/>
  <c r="DZ51" i="35569" s="1"/>
  <c r="CB51" i="35569"/>
  <c r="EA51" i="35569" s="1"/>
  <c r="CD51" i="35569"/>
  <c r="EB51" i="35569" s="1"/>
  <c r="CF51" i="35569"/>
  <c r="EC51" i="35569" s="1"/>
  <c r="CH51" i="35569"/>
  <c r="ED51" i="35569" s="1"/>
  <c r="CJ51" i="35569"/>
  <c r="EE51" i="35569" s="1"/>
  <c r="CL51" i="35569"/>
  <c r="EF51" i="35569" s="1"/>
  <c r="CN51" i="35569"/>
  <c r="EG51" i="35569" s="1"/>
  <c r="CP51" i="35569"/>
  <c r="EH51" i="35569" s="1"/>
  <c r="CR51" i="35569"/>
  <c r="EI51" i="35569" s="1"/>
  <c r="EK51" i="35569"/>
  <c r="EL51" i="35569"/>
  <c r="EM51" i="35569"/>
  <c r="EN51" i="35569" s="1"/>
  <c r="EO51" i="35569"/>
  <c r="EP51" i="35569" s="1"/>
  <c r="EQ51" i="35569"/>
  <c r="ER51" i="35569"/>
  <c r="ES51" i="35569"/>
  <c r="ET51" i="35569" s="1"/>
  <c r="EU51" i="35569"/>
  <c r="EV51" i="35569" s="1"/>
  <c r="EW51" i="35569"/>
  <c r="EX51" i="35569" s="1"/>
  <c r="EY51" i="35569"/>
  <c r="EZ51" i="35569" s="1"/>
  <c r="FA51" i="35569"/>
  <c r="FB51" i="35569" s="1"/>
  <c r="FC51" i="35569"/>
  <c r="FD51" i="35569" s="1"/>
  <c r="FE51" i="35569"/>
  <c r="FF51" i="35569" s="1"/>
  <c r="FG51" i="35569"/>
  <c r="FH51" i="35569" s="1"/>
  <c r="AF52" i="35569"/>
  <c r="AG52" i="35569"/>
  <c r="AH52" i="35569"/>
  <c r="AI52" i="35569"/>
  <c r="AJ52" i="35569"/>
  <c r="AK52" i="35569"/>
  <c r="AL52" i="35569"/>
  <c r="AM52" i="35569"/>
  <c r="AN52" i="35569"/>
  <c r="AO52" i="35569"/>
  <c r="AP52" i="35569"/>
  <c r="AQ52" i="35569"/>
  <c r="AU52" i="35569"/>
  <c r="AV52" i="35569" s="1"/>
  <c r="AW52" i="35569"/>
  <c r="AX52" i="35569" s="1"/>
  <c r="AY52" i="35569"/>
  <c r="AZ52" i="35569" s="1"/>
  <c r="BA52" i="35569"/>
  <c r="BB52" i="35569" s="1"/>
  <c r="BC52" i="35569"/>
  <c r="BD52" i="35569" s="1"/>
  <c r="BE52" i="35569"/>
  <c r="BF52" i="35569" s="1"/>
  <c r="BG52" i="35569"/>
  <c r="BH52" i="35569" s="1"/>
  <c r="BI52" i="35569"/>
  <c r="BJ52" i="35569" s="1"/>
  <c r="BK52" i="35569"/>
  <c r="BL52" i="35569" s="1"/>
  <c r="BM52" i="35569"/>
  <c r="BN52" i="35569" s="1"/>
  <c r="BO52" i="35569"/>
  <c r="BP52" i="35569" s="1"/>
  <c r="BQ52" i="35569"/>
  <c r="BR52" i="35569" s="1"/>
  <c r="BV52" i="35569"/>
  <c r="DX52" i="35569" s="1"/>
  <c r="BX52" i="35569"/>
  <c r="DY52" i="35569" s="1"/>
  <c r="BZ52" i="35569"/>
  <c r="DZ52" i="35569" s="1"/>
  <c r="CB52" i="35569"/>
  <c r="EA52" i="35569" s="1"/>
  <c r="CD52" i="35569"/>
  <c r="EB52" i="35569" s="1"/>
  <c r="CF52" i="35569"/>
  <c r="EC52" i="35569" s="1"/>
  <c r="CH52" i="35569"/>
  <c r="ED52" i="35569" s="1"/>
  <c r="CJ52" i="35569"/>
  <c r="EE52" i="35569" s="1"/>
  <c r="CL52" i="35569"/>
  <c r="EF52" i="35569" s="1"/>
  <c r="CN52" i="35569"/>
  <c r="EG52" i="35569" s="1"/>
  <c r="CP52" i="35569"/>
  <c r="EH52" i="35569" s="1"/>
  <c r="CR52" i="35569"/>
  <c r="EI52" i="35569" s="1"/>
  <c r="EK52" i="35569"/>
  <c r="EL52" i="35569" s="1"/>
  <c r="EM52" i="35569"/>
  <c r="EN52" i="35569" s="1"/>
  <c r="EO52" i="35569"/>
  <c r="EP52" i="35569"/>
  <c r="EQ52" i="35569"/>
  <c r="ER52" i="35569" s="1"/>
  <c r="ES52" i="35569"/>
  <c r="ET52" i="35569" s="1"/>
  <c r="EU52" i="35569"/>
  <c r="EV52" i="35569"/>
  <c r="EW52" i="35569"/>
  <c r="EX52" i="35569" s="1"/>
  <c r="EY52" i="35569"/>
  <c r="EZ52" i="35569" s="1"/>
  <c r="FA52" i="35569"/>
  <c r="FB52" i="35569" s="1"/>
  <c r="FC52" i="35569"/>
  <c r="FD52" i="35569" s="1"/>
  <c r="FE52" i="35569"/>
  <c r="FF52" i="35569" s="1"/>
  <c r="FG52" i="35569"/>
  <c r="FH52" i="35569" s="1"/>
  <c r="AF53" i="35569"/>
  <c r="AG53" i="35569"/>
  <c r="AH53" i="35569"/>
  <c r="AI53" i="35569"/>
  <c r="AJ53" i="35569"/>
  <c r="AK53" i="35569"/>
  <c r="AL53" i="35569"/>
  <c r="AM53" i="35569"/>
  <c r="AN53" i="35569"/>
  <c r="AO53" i="35569"/>
  <c r="AP53" i="35569"/>
  <c r="AQ53" i="35569"/>
  <c r="AU53" i="35569"/>
  <c r="AV53" i="35569" s="1"/>
  <c r="AW53" i="35569"/>
  <c r="AX53" i="35569" s="1"/>
  <c r="AY53" i="35569"/>
  <c r="AZ53" i="35569" s="1"/>
  <c r="BA53" i="35569"/>
  <c r="BB53" i="35569" s="1"/>
  <c r="BC53" i="35569"/>
  <c r="BD53" i="35569" s="1"/>
  <c r="BE53" i="35569"/>
  <c r="BF53" i="35569" s="1"/>
  <c r="BG53" i="35569"/>
  <c r="BH53" i="35569" s="1"/>
  <c r="BI53" i="35569"/>
  <c r="BJ53" i="35569" s="1"/>
  <c r="BK53" i="35569"/>
  <c r="BL53" i="35569" s="1"/>
  <c r="BM53" i="35569"/>
  <c r="BN53" i="35569" s="1"/>
  <c r="BO53" i="35569"/>
  <c r="BP53" i="35569" s="1"/>
  <c r="BQ53" i="35569"/>
  <c r="BR53" i="35569" s="1"/>
  <c r="BV53" i="35569"/>
  <c r="DX53" i="35569" s="1"/>
  <c r="BX53" i="35569"/>
  <c r="DY53" i="35569" s="1"/>
  <c r="BZ53" i="35569"/>
  <c r="DZ53" i="35569" s="1"/>
  <c r="CB53" i="35569"/>
  <c r="EA53" i="35569" s="1"/>
  <c r="CD53" i="35569"/>
  <c r="EB53" i="35569" s="1"/>
  <c r="CF53" i="35569"/>
  <c r="EC53" i="35569" s="1"/>
  <c r="CH53" i="35569"/>
  <c r="ED53" i="35569" s="1"/>
  <c r="CJ53" i="35569"/>
  <c r="EE53" i="35569" s="1"/>
  <c r="CL53" i="35569"/>
  <c r="EF53" i="35569" s="1"/>
  <c r="CN53" i="35569"/>
  <c r="EG53" i="35569" s="1"/>
  <c r="CP53" i="35569"/>
  <c r="EH53" i="35569" s="1"/>
  <c r="CR53" i="35569"/>
  <c r="EI53" i="35569" s="1"/>
  <c r="EK53" i="35569"/>
  <c r="EL53" i="35569" s="1"/>
  <c r="EM53" i="35569"/>
  <c r="EN53" i="35569" s="1"/>
  <c r="EO53" i="35569"/>
  <c r="EP53" i="35569" s="1"/>
  <c r="EQ53" i="35569"/>
  <c r="ER53" i="35569" s="1"/>
  <c r="ES53" i="35569"/>
  <c r="ET53" i="35569"/>
  <c r="EU53" i="35569"/>
  <c r="EV53" i="35569" s="1"/>
  <c r="EW53" i="35569"/>
  <c r="EX53" i="35569" s="1"/>
  <c r="EY53" i="35569"/>
  <c r="EZ53" i="35569"/>
  <c r="FA53" i="35569"/>
  <c r="FB53" i="35569" s="1"/>
  <c r="FC53" i="35569"/>
  <c r="FD53" i="35569" s="1"/>
  <c r="FE53" i="35569"/>
  <c r="FF53" i="35569" s="1"/>
  <c r="FG53" i="35569"/>
  <c r="FH53" i="35569" s="1"/>
  <c r="AF54" i="35569"/>
  <c r="AG54" i="35569"/>
  <c r="AH54" i="35569"/>
  <c r="AI54" i="35569"/>
  <c r="AJ54" i="35569"/>
  <c r="AK54" i="35569"/>
  <c r="AL54" i="35569"/>
  <c r="AM54" i="35569"/>
  <c r="AN54" i="35569"/>
  <c r="AO54" i="35569"/>
  <c r="AP54" i="35569"/>
  <c r="AQ54" i="35569"/>
  <c r="AU54" i="35569"/>
  <c r="AV54" i="35569" s="1"/>
  <c r="AW54" i="35569"/>
  <c r="AX54" i="35569" s="1"/>
  <c r="AY54" i="35569"/>
  <c r="AZ54" i="35569" s="1"/>
  <c r="BA54" i="35569"/>
  <c r="BB54" i="35569" s="1"/>
  <c r="BC54" i="35569"/>
  <c r="BD54" i="35569" s="1"/>
  <c r="BE54" i="35569"/>
  <c r="BF54" i="35569" s="1"/>
  <c r="BG54" i="35569"/>
  <c r="BH54" i="35569" s="1"/>
  <c r="BI54" i="35569"/>
  <c r="BJ54" i="35569" s="1"/>
  <c r="BK54" i="35569"/>
  <c r="BL54" i="35569" s="1"/>
  <c r="BM54" i="35569"/>
  <c r="BN54" i="35569" s="1"/>
  <c r="BO54" i="35569"/>
  <c r="BP54" i="35569" s="1"/>
  <c r="BQ54" i="35569"/>
  <c r="BR54" i="35569" s="1"/>
  <c r="BV54" i="35569"/>
  <c r="DX54" i="35569" s="1"/>
  <c r="BX54" i="35569"/>
  <c r="DY54" i="35569" s="1"/>
  <c r="BZ54" i="35569"/>
  <c r="DZ54" i="35569" s="1"/>
  <c r="CB54" i="35569"/>
  <c r="EA54" i="35569" s="1"/>
  <c r="CD54" i="35569"/>
  <c r="EB54" i="35569" s="1"/>
  <c r="CF54" i="35569"/>
  <c r="EC54" i="35569" s="1"/>
  <c r="CH54" i="35569"/>
  <c r="ED54" i="35569" s="1"/>
  <c r="CJ54" i="35569"/>
  <c r="EE54" i="35569" s="1"/>
  <c r="CL54" i="35569"/>
  <c r="EF54" i="35569" s="1"/>
  <c r="CN54" i="35569"/>
  <c r="EG54" i="35569" s="1"/>
  <c r="CP54" i="35569"/>
  <c r="EH54" i="35569" s="1"/>
  <c r="CR54" i="35569"/>
  <c r="EI54" i="35569" s="1"/>
  <c r="EK54" i="35569"/>
  <c r="EL54" i="35569" s="1"/>
  <c r="EM54" i="35569"/>
  <c r="EN54" i="35569"/>
  <c r="EO54" i="35569"/>
  <c r="EP54" i="35569"/>
  <c r="EQ54" i="35569"/>
  <c r="ER54" i="35569" s="1"/>
  <c r="ES54" i="35569"/>
  <c r="ET54" i="35569" s="1"/>
  <c r="EU54" i="35569"/>
  <c r="EV54" i="35569"/>
  <c r="EW54" i="35569"/>
  <c r="EX54" i="35569" s="1"/>
  <c r="EY54" i="35569"/>
  <c r="EZ54" i="35569" s="1"/>
  <c r="FA54" i="35569"/>
  <c r="FB54" i="35569" s="1"/>
  <c r="FC54" i="35569"/>
  <c r="FD54" i="35569" s="1"/>
  <c r="FE54" i="35569"/>
  <c r="FF54" i="35569" s="1"/>
  <c r="FG54" i="35569"/>
  <c r="FH54" i="35569" s="1"/>
  <c r="AF55" i="35569"/>
  <c r="AG55" i="35569"/>
  <c r="AH55" i="35569"/>
  <c r="AI55" i="35569"/>
  <c r="AJ55" i="35569"/>
  <c r="AK55" i="35569"/>
  <c r="AL55" i="35569"/>
  <c r="AM55" i="35569"/>
  <c r="AN55" i="35569"/>
  <c r="AO55" i="35569"/>
  <c r="AP55" i="35569"/>
  <c r="AQ55" i="35569"/>
  <c r="AU55" i="35569"/>
  <c r="AV55" i="35569" s="1"/>
  <c r="AW55" i="35569"/>
  <c r="AX55" i="35569" s="1"/>
  <c r="AY55" i="35569"/>
  <c r="AZ55" i="35569" s="1"/>
  <c r="BA55" i="35569"/>
  <c r="BB55" i="35569" s="1"/>
  <c r="BC55" i="35569"/>
  <c r="BD55" i="35569" s="1"/>
  <c r="BE55" i="35569"/>
  <c r="BF55" i="35569" s="1"/>
  <c r="BG55" i="35569"/>
  <c r="BH55" i="35569" s="1"/>
  <c r="BI55" i="35569"/>
  <c r="BJ55" i="35569" s="1"/>
  <c r="BK55" i="35569"/>
  <c r="BL55" i="35569" s="1"/>
  <c r="BM55" i="35569"/>
  <c r="BN55" i="35569" s="1"/>
  <c r="BO55" i="35569"/>
  <c r="BP55" i="35569" s="1"/>
  <c r="BQ55" i="35569"/>
  <c r="BR55" i="35569" s="1"/>
  <c r="BV55" i="35569"/>
  <c r="DX55" i="35569" s="1"/>
  <c r="BX55" i="35569"/>
  <c r="DY55" i="35569" s="1"/>
  <c r="BZ55" i="35569"/>
  <c r="DZ55" i="35569" s="1"/>
  <c r="CB55" i="35569"/>
  <c r="EA55" i="35569" s="1"/>
  <c r="CD55" i="35569"/>
  <c r="EB55" i="35569" s="1"/>
  <c r="CF55" i="35569"/>
  <c r="EC55" i="35569" s="1"/>
  <c r="CH55" i="35569"/>
  <c r="ED55" i="35569" s="1"/>
  <c r="CJ55" i="35569"/>
  <c r="EE55" i="35569" s="1"/>
  <c r="CL55" i="35569"/>
  <c r="EF55" i="35569" s="1"/>
  <c r="CN55" i="35569"/>
  <c r="EG55" i="35569" s="1"/>
  <c r="CP55" i="35569"/>
  <c r="EH55" i="35569" s="1"/>
  <c r="CR55" i="35569"/>
  <c r="EI55" i="35569" s="1"/>
  <c r="EK55" i="35569"/>
  <c r="EL55" i="35569" s="1"/>
  <c r="EM55" i="35569"/>
  <c r="EN55" i="35569" s="1"/>
  <c r="EO55" i="35569"/>
  <c r="EP55" i="35569" s="1"/>
  <c r="EQ55" i="35569"/>
  <c r="ER55" i="35569" s="1"/>
  <c r="ES55" i="35569"/>
  <c r="ET55" i="35569" s="1"/>
  <c r="EU55" i="35569"/>
  <c r="EV55" i="35569" s="1"/>
  <c r="EW55" i="35569"/>
  <c r="EX55" i="35569" s="1"/>
  <c r="EY55" i="35569"/>
  <c r="EZ55" i="35569"/>
  <c r="FA55" i="35569"/>
  <c r="FB55" i="35569" s="1"/>
  <c r="FC55" i="35569"/>
  <c r="FD55" i="35569" s="1"/>
  <c r="FE55" i="35569"/>
  <c r="FF55" i="35569" s="1"/>
  <c r="FG55" i="35569"/>
  <c r="FH55" i="35569" s="1"/>
  <c r="AF56" i="35569"/>
  <c r="AG56" i="35569"/>
  <c r="AH56" i="35569"/>
  <c r="AI56" i="35569"/>
  <c r="AJ56" i="35569"/>
  <c r="AK56" i="35569"/>
  <c r="AL56" i="35569"/>
  <c r="AM56" i="35569"/>
  <c r="AN56" i="35569"/>
  <c r="AO56" i="35569"/>
  <c r="AP56" i="35569"/>
  <c r="AQ56" i="35569"/>
  <c r="AU56" i="35569"/>
  <c r="AV56" i="35569" s="1"/>
  <c r="AW56" i="35569"/>
  <c r="AX56" i="35569" s="1"/>
  <c r="AY56" i="35569"/>
  <c r="AZ56" i="35569" s="1"/>
  <c r="BA56" i="35569"/>
  <c r="BB56" i="35569" s="1"/>
  <c r="BC56" i="35569"/>
  <c r="BD56" i="35569" s="1"/>
  <c r="BE56" i="35569"/>
  <c r="BF56" i="35569" s="1"/>
  <c r="BG56" i="35569"/>
  <c r="BH56" i="35569" s="1"/>
  <c r="BI56" i="35569"/>
  <c r="BJ56" i="35569" s="1"/>
  <c r="BK56" i="35569"/>
  <c r="BL56" i="35569" s="1"/>
  <c r="BM56" i="35569"/>
  <c r="BN56" i="35569" s="1"/>
  <c r="BO56" i="35569"/>
  <c r="BP56" i="35569" s="1"/>
  <c r="BQ56" i="35569"/>
  <c r="BR56" i="35569" s="1"/>
  <c r="BV56" i="35569"/>
  <c r="DX56" i="35569" s="1"/>
  <c r="BX56" i="35569"/>
  <c r="DY56" i="35569" s="1"/>
  <c r="BZ56" i="35569"/>
  <c r="DZ56" i="35569" s="1"/>
  <c r="CB56" i="35569"/>
  <c r="EA56" i="35569" s="1"/>
  <c r="CD56" i="35569"/>
  <c r="EB56" i="35569" s="1"/>
  <c r="CF56" i="35569"/>
  <c r="EC56" i="35569" s="1"/>
  <c r="CH56" i="35569"/>
  <c r="ED56" i="35569" s="1"/>
  <c r="CJ56" i="35569"/>
  <c r="EE56" i="35569" s="1"/>
  <c r="CL56" i="35569"/>
  <c r="EF56" i="35569" s="1"/>
  <c r="CN56" i="35569"/>
  <c r="EG56" i="35569" s="1"/>
  <c r="CP56" i="35569"/>
  <c r="CR56" i="35569"/>
  <c r="EI56" i="35569" s="1"/>
  <c r="EH56" i="35569"/>
  <c r="EK56" i="35569"/>
  <c r="EL56" i="35569" s="1"/>
  <c r="EM56" i="35569"/>
  <c r="EN56" i="35569" s="1"/>
  <c r="EO56" i="35569"/>
  <c r="EP56" i="35569" s="1"/>
  <c r="EQ56" i="35569"/>
  <c r="ER56" i="35569" s="1"/>
  <c r="ES56" i="35569"/>
  <c r="ET56" i="35569" s="1"/>
  <c r="EU56" i="35569"/>
  <c r="EV56" i="35569" s="1"/>
  <c r="EW56" i="35569"/>
  <c r="EX56" i="35569" s="1"/>
  <c r="EY56" i="35569"/>
  <c r="EZ56" i="35569" s="1"/>
  <c r="FA56" i="35569"/>
  <c r="FB56" i="35569" s="1"/>
  <c r="FC56" i="35569"/>
  <c r="FD56" i="35569" s="1"/>
  <c r="FE56" i="35569"/>
  <c r="FF56" i="35569"/>
  <c r="FG56" i="35569"/>
  <c r="FH56" i="35569" s="1"/>
  <c r="AF57" i="35569"/>
  <c r="AG57" i="35569"/>
  <c r="AH57" i="35569"/>
  <c r="AI57" i="35569"/>
  <c r="AJ57" i="35569"/>
  <c r="AK57" i="35569"/>
  <c r="AL57" i="35569"/>
  <c r="AM57" i="35569"/>
  <c r="AN57" i="35569"/>
  <c r="AO57" i="35569"/>
  <c r="AP57" i="35569"/>
  <c r="AQ57" i="35569"/>
  <c r="AU57" i="35569"/>
  <c r="AV57" i="35569" s="1"/>
  <c r="AW57" i="35569"/>
  <c r="AX57" i="35569" s="1"/>
  <c r="AY57" i="35569"/>
  <c r="AZ57" i="35569" s="1"/>
  <c r="BA57" i="35569"/>
  <c r="BB57" i="35569" s="1"/>
  <c r="BC57" i="35569"/>
  <c r="BD57" i="35569" s="1"/>
  <c r="BE57" i="35569"/>
  <c r="BF57" i="35569" s="1"/>
  <c r="BG57" i="35569"/>
  <c r="BH57" i="35569" s="1"/>
  <c r="BI57" i="35569"/>
  <c r="BJ57" i="35569" s="1"/>
  <c r="BK57" i="35569"/>
  <c r="BL57" i="35569" s="1"/>
  <c r="BM57" i="35569"/>
  <c r="BN57" i="35569" s="1"/>
  <c r="BO57" i="35569"/>
  <c r="BP57" i="35569" s="1"/>
  <c r="BQ57" i="35569"/>
  <c r="BR57" i="35569" s="1"/>
  <c r="BV57" i="35569"/>
  <c r="DX57" i="35569" s="1"/>
  <c r="BX57" i="35569"/>
  <c r="DY57" i="35569" s="1"/>
  <c r="BZ57" i="35569"/>
  <c r="DZ57" i="35569" s="1"/>
  <c r="CB57" i="35569"/>
  <c r="EA57" i="35569" s="1"/>
  <c r="CD57" i="35569"/>
  <c r="CF57" i="35569"/>
  <c r="EC57" i="35569" s="1"/>
  <c r="CH57" i="35569"/>
  <c r="ED57" i="35569" s="1"/>
  <c r="CJ57" i="35569"/>
  <c r="EE57" i="35569" s="1"/>
  <c r="CL57" i="35569"/>
  <c r="EF57" i="35569" s="1"/>
  <c r="CN57" i="35569"/>
  <c r="EG57" i="35569" s="1"/>
  <c r="CP57" i="35569"/>
  <c r="EH57" i="35569" s="1"/>
  <c r="CR57" i="35569"/>
  <c r="EI57" i="35569" s="1"/>
  <c r="EB57" i="35569"/>
  <c r="EK57" i="35569"/>
  <c r="EL57" i="35569" s="1"/>
  <c r="EM57" i="35569"/>
  <c r="EN57" i="35569" s="1"/>
  <c r="EO57" i="35569"/>
  <c r="EP57" i="35569" s="1"/>
  <c r="EQ57" i="35569"/>
  <c r="ER57" i="35569" s="1"/>
  <c r="ES57" i="35569"/>
  <c r="ET57" i="35569" s="1"/>
  <c r="EU57" i="35569"/>
  <c r="EV57" i="35569" s="1"/>
  <c r="EW57" i="35569"/>
  <c r="EX57" i="35569" s="1"/>
  <c r="EY57" i="35569"/>
  <c r="EZ57" i="35569"/>
  <c r="FA57" i="35569"/>
  <c r="FB57" i="35569"/>
  <c r="FC57" i="35569"/>
  <c r="FD57" i="35569" s="1"/>
  <c r="FE57" i="35569"/>
  <c r="FF57" i="35569" s="1"/>
  <c r="FG57" i="35569"/>
  <c r="FH57" i="35569"/>
  <c r="AF58" i="35569"/>
  <c r="AG58" i="35569"/>
  <c r="AH58" i="35569"/>
  <c r="AI58" i="35569"/>
  <c r="AJ58" i="35569"/>
  <c r="AK58" i="35569"/>
  <c r="AL58" i="35569"/>
  <c r="AM58" i="35569"/>
  <c r="AN58" i="35569"/>
  <c r="AO58" i="35569"/>
  <c r="AP58" i="35569"/>
  <c r="AQ58" i="35569"/>
  <c r="AU58" i="35569"/>
  <c r="AV58" i="35569" s="1"/>
  <c r="AW58" i="35569"/>
  <c r="AX58" i="35569" s="1"/>
  <c r="AY58" i="35569"/>
  <c r="AZ58" i="35569" s="1"/>
  <c r="BA58" i="35569"/>
  <c r="BB58" i="35569" s="1"/>
  <c r="BC58" i="35569"/>
  <c r="BD58" i="35569" s="1"/>
  <c r="BE58" i="35569"/>
  <c r="BF58" i="35569" s="1"/>
  <c r="BG58" i="35569"/>
  <c r="BH58" i="35569" s="1"/>
  <c r="BI58" i="35569"/>
  <c r="BJ58" i="35569" s="1"/>
  <c r="BK58" i="35569"/>
  <c r="BL58" i="35569" s="1"/>
  <c r="BM58" i="35569"/>
  <c r="BN58" i="35569" s="1"/>
  <c r="BO58" i="35569"/>
  <c r="BP58" i="35569" s="1"/>
  <c r="BQ58" i="35569"/>
  <c r="BR58" i="35569" s="1"/>
  <c r="BV58" i="35569"/>
  <c r="DX58" i="35569" s="1"/>
  <c r="BX58" i="35569"/>
  <c r="BZ58" i="35569"/>
  <c r="DZ58" i="35569" s="1"/>
  <c r="CB58" i="35569"/>
  <c r="EA58" i="35569" s="1"/>
  <c r="CD58" i="35569"/>
  <c r="EB58" i="35569" s="1"/>
  <c r="CF58" i="35569"/>
  <c r="EC58" i="35569" s="1"/>
  <c r="CH58" i="35569"/>
  <c r="ED58" i="35569" s="1"/>
  <c r="CJ58" i="35569"/>
  <c r="EE58" i="35569" s="1"/>
  <c r="CL58" i="35569"/>
  <c r="EF58" i="35569" s="1"/>
  <c r="CN58" i="35569"/>
  <c r="EG58" i="35569" s="1"/>
  <c r="CP58" i="35569"/>
  <c r="EH58" i="35569" s="1"/>
  <c r="CR58" i="35569"/>
  <c r="EI58" i="35569" s="1"/>
  <c r="DY58" i="35569"/>
  <c r="EK58" i="35569"/>
  <c r="EL58" i="35569" s="1"/>
  <c r="EM58" i="35569"/>
  <c r="EN58" i="35569" s="1"/>
  <c r="EO58" i="35569"/>
  <c r="EP58" i="35569" s="1"/>
  <c r="EQ58" i="35569"/>
  <c r="ER58" i="35569" s="1"/>
  <c r="ES58" i="35569"/>
  <c r="ET58" i="35569"/>
  <c r="EU58" i="35569"/>
  <c r="EV58" i="35569"/>
  <c r="EW58" i="35569"/>
  <c r="EX58" i="35569" s="1"/>
  <c r="EY58" i="35569"/>
  <c r="EZ58" i="35569" s="1"/>
  <c r="FA58" i="35569"/>
  <c r="FB58" i="35569" s="1"/>
  <c r="FC58" i="35569"/>
  <c r="FD58" i="35569" s="1"/>
  <c r="FE58" i="35569"/>
  <c r="FF58" i="35569" s="1"/>
  <c r="FG58" i="35569"/>
  <c r="FH58" i="35569" s="1"/>
  <c r="AF59" i="35569"/>
  <c r="AG59" i="35569"/>
  <c r="AH59" i="35569"/>
  <c r="AI59" i="35569"/>
  <c r="AJ59" i="35569"/>
  <c r="AK59" i="35569"/>
  <c r="AL59" i="35569"/>
  <c r="AM59" i="35569"/>
  <c r="AN59" i="35569"/>
  <c r="AO59" i="35569"/>
  <c r="AP59" i="35569"/>
  <c r="AQ59" i="35569"/>
  <c r="AU59" i="35569"/>
  <c r="AV59" i="35569" s="1"/>
  <c r="AW59" i="35569"/>
  <c r="AX59" i="35569" s="1"/>
  <c r="AY59" i="35569"/>
  <c r="AZ59" i="35569" s="1"/>
  <c r="BA59" i="35569"/>
  <c r="BB59" i="35569" s="1"/>
  <c r="BC59" i="35569"/>
  <c r="BD59" i="35569" s="1"/>
  <c r="BE59" i="35569"/>
  <c r="BF59" i="35569" s="1"/>
  <c r="BG59" i="35569"/>
  <c r="BH59" i="35569" s="1"/>
  <c r="BI59" i="35569"/>
  <c r="BJ59" i="35569" s="1"/>
  <c r="BK59" i="35569"/>
  <c r="BL59" i="35569" s="1"/>
  <c r="BM59" i="35569"/>
  <c r="BN59" i="35569" s="1"/>
  <c r="BO59" i="35569"/>
  <c r="BP59" i="35569" s="1"/>
  <c r="BQ59" i="35569"/>
  <c r="BR59" i="35569" s="1"/>
  <c r="BV59" i="35569"/>
  <c r="DX59" i="35569" s="1"/>
  <c r="BX59" i="35569"/>
  <c r="BZ59" i="35569"/>
  <c r="DZ59" i="35569" s="1"/>
  <c r="CB59" i="35569"/>
  <c r="EA59" i="35569" s="1"/>
  <c r="CD59" i="35569"/>
  <c r="EB59" i="35569" s="1"/>
  <c r="CF59" i="35569"/>
  <c r="EC59" i="35569" s="1"/>
  <c r="CH59" i="35569"/>
  <c r="ED59" i="35569" s="1"/>
  <c r="CJ59" i="35569"/>
  <c r="EE59" i="35569" s="1"/>
  <c r="CL59" i="35569"/>
  <c r="CN59" i="35569"/>
  <c r="CP59" i="35569"/>
  <c r="EH59" i="35569" s="1"/>
  <c r="CR59" i="35569"/>
  <c r="EI59" i="35569" s="1"/>
  <c r="EF59" i="35569"/>
  <c r="EG59" i="35569"/>
  <c r="EK59" i="35569"/>
  <c r="EL59" i="35569" s="1"/>
  <c r="EM59" i="35569"/>
  <c r="EN59" i="35569" s="1"/>
  <c r="EO59" i="35569"/>
  <c r="EP59" i="35569" s="1"/>
  <c r="EQ59" i="35569"/>
  <c r="ER59" i="35569" s="1"/>
  <c r="ES59" i="35569"/>
  <c r="ET59" i="35569" s="1"/>
  <c r="EU59" i="35569"/>
  <c r="EV59" i="35569" s="1"/>
  <c r="EW59" i="35569"/>
  <c r="EX59" i="35569" s="1"/>
  <c r="EY59" i="35569"/>
  <c r="EZ59" i="35569" s="1"/>
  <c r="FA59" i="35569"/>
  <c r="FB59" i="35569" s="1"/>
  <c r="FC59" i="35569"/>
  <c r="FD59" i="35569" s="1"/>
  <c r="FE59" i="35569"/>
  <c r="FF59" i="35569" s="1"/>
  <c r="FG59" i="35569"/>
  <c r="FH59" i="35569" s="1"/>
  <c r="AF60" i="35569"/>
  <c r="AG60" i="35569"/>
  <c r="AH60" i="35569"/>
  <c r="AI60" i="35569"/>
  <c r="AJ60" i="35569"/>
  <c r="AK60" i="35569"/>
  <c r="AL60" i="35569"/>
  <c r="AM60" i="35569"/>
  <c r="AN60" i="35569"/>
  <c r="AO60" i="35569"/>
  <c r="AP60" i="35569"/>
  <c r="AQ60" i="35569"/>
  <c r="AU60" i="35569"/>
  <c r="AV60" i="35569" s="1"/>
  <c r="AW60" i="35569"/>
  <c r="AX60" i="35569" s="1"/>
  <c r="AY60" i="35569"/>
  <c r="AZ60" i="35569" s="1"/>
  <c r="BA60" i="35569"/>
  <c r="BB60" i="35569" s="1"/>
  <c r="BC60" i="35569"/>
  <c r="BD60" i="35569" s="1"/>
  <c r="BE60" i="35569"/>
  <c r="BF60" i="35569" s="1"/>
  <c r="BG60" i="35569"/>
  <c r="BH60" i="35569" s="1"/>
  <c r="BI60" i="35569"/>
  <c r="BJ60" i="35569" s="1"/>
  <c r="BK60" i="35569"/>
  <c r="BL60" i="35569" s="1"/>
  <c r="BM60" i="35569"/>
  <c r="BN60" i="35569" s="1"/>
  <c r="BO60" i="35569"/>
  <c r="BP60" i="35569" s="1"/>
  <c r="BQ60" i="35569"/>
  <c r="BR60" i="35569" s="1"/>
  <c r="BV60" i="35569"/>
  <c r="DX60" i="35569" s="1"/>
  <c r="BZ60" i="35569"/>
  <c r="DZ60" i="35569" s="1"/>
  <c r="CB60" i="35569"/>
  <c r="EA60" i="35569" s="1"/>
  <c r="CD60" i="35569"/>
  <c r="EB60" i="35569" s="1"/>
  <c r="CF60" i="35569"/>
  <c r="EC60" i="35569" s="1"/>
  <c r="CH60" i="35569"/>
  <c r="ED60" i="35569" s="1"/>
  <c r="CJ60" i="35569"/>
  <c r="EE60" i="35569" s="1"/>
  <c r="CL60" i="35569"/>
  <c r="EF60" i="35569" s="1"/>
  <c r="CN60" i="35569"/>
  <c r="EG60" i="35569" s="1"/>
  <c r="CP60" i="35569"/>
  <c r="EH60" i="35569" s="1"/>
  <c r="CR60" i="35569"/>
  <c r="EI60" i="35569" s="1"/>
  <c r="DY60" i="35569"/>
  <c r="EK60" i="35569"/>
  <c r="EL60" i="35569"/>
  <c r="EM60" i="35569"/>
  <c r="EN60" i="35569"/>
  <c r="EO60" i="35569"/>
  <c r="EP60" i="35569"/>
  <c r="EQ60" i="35569"/>
  <c r="ER60" i="35569" s="1"/>
  <c r="ES60" i="35569"/>
  <c r="ET60" i="35569" s="1"/>
  <c r="EU60" i="35569"/>
  <c r="EV60" i="35569" s="1"/>
  <c r="EW60" i="35569"/>
  <c r="EX60" i="35569" s="1"/>
  <c r="EY60" i="35569"/>
  <c r="EZ60" i="35569" s="1"/>
  <c r="FA60" i="35569"/>
  <c r="FB60" i="35569" s="1"/>
  <c r="FC60" i="35569"/>
  <c r="FD60" i="35569"/>
  <c r="FE60" i="35569"/>
  <c r="FF60" i="35569" s="1"/>
  <c r="FG60" i="35569"/>
  <c r="FH60" i="35569" s="1"/>
  <c r="AF61" i="35569"/>
  <c r="AH61" i="35569"/>
  <c r="AI61" i="35569"/>
  <c r="AJ61" i="35569"/>
  <c r="AK61" i="35569"/>
  <c r="AL61" i="35569"/>
  <c r="AM61" i="35569"/>
  <c r="AN61" i="35569"/>
  <c r="AO61" i="35569"/>
  <c r="AP61" i="35569"/>
  <c r="AQ61" i="35569"/>
  <c r="AU61" i="35569"/>
  <c r="AV61" i="35569" s="1"/>
  <c r="AW61" i="35569"/>
  <c r="AX61" i="35569" s="1"/>
  <c r="AY61" i="35569"/>
  <c r="AZ61" i="35569" s="1"/>
  <c r="BA61" i="35569"/>
  <c r="BB61" i="35569" s="1"/>
  <c r="BC61" i="35569"/>
  <c r="BD61" i="35569" s="1"/>
  <c r="BE61" i="35569"/>
  <c r="BF61" i="35569" s="1"/>
  <c r="BG61" i="35569"/>
  <c r="BH61" i="35569" s="1"/>
  <c r="BI61" i="35569"/>
  <c r="BJ61" i="35569" s="1"/>
  <c r="BK61" i="35569"/>
  <c r="BL61" i="35569" s="1"/>
  <c r="BM61" i="35569"/>
  <c r="BN61" i="35569" s="1"/>
  <c r="BO61" i="35569"/>
  <c r="BP61" i="35569" s="1"/>
  <c r="BQ61" i="35569"/>
  <c r="BR61" i="35569" s="1"/>
  <c r="BV61" i="35569"/>
  <c r="DX61" i="35569" s="1"/>
  <c r="BZ61" i="35569"/>
  <c r="DZ61" i="35569" s="1"/>
  <c r="CB61" i="35569"/>
  <c r="EA61" i="35569" s="1"/>
  <c r="CD61" i="35569"/>
  <c r="EB61" i="35569" s="1"/>
  <c r="CF61" i="35569"/>
  <c r="EC61" i="35569" s="1"/>
  <c r="CH61" i="35569"/>
  <c r="ED61" i="35569" s="1"/>
  <c r="CJ61" i="35569"/>
  <c r="EE61" i="35569" s="1"/>
  <c r="CL61" i="35569"/>
  <c r="EF61" i="35569" s="1"/>
  <c r="CN61" i="35569"/>
  <c r="EG61" i="35569" s="1"/>
  <c r="CP61" i="35569"/>
  <c r="EH61" i="35569" s="1"/>
  <c r="CR61" i="35569"/>
  <c r="EI61" i="35569" s="1"/>
  <c r="CX61" i="35569"/>
  <c r="DY61" i="35569"/>
  <c r="EK61" i="35569"/>
  <c r="EL61" i="35569" s="1"/>
  <c r="EM61" i="35569"/>
  <c r="EN61" i="35569"/>
  <c r="EO61" i="35569"/>
  <c r="EP61" i="35569" s="1"/>
  <c r="EQ61" i="35569"/>
  <c r="ER61" i="35569" s="1"/>
  <c r="ES61" i="35569"/>
  <c r="ET61" i="35569" s="1"/>
  <c r="EU61" i="35569"/>
  <c r="EV61" i="35569" s="1"/>
  <c r="EW61" i="35569"/>
  <c r="EX61" i="35569" s="1"/>
  <c r="EY61" i="35569"/>
  <c r="EZ61" i="35569" s="1"/>
  <c r="FA61" i="35569"/>
  <c r="FB61" i="35569" s="1"/>
  <c r="FC61" i="35569"/>
  <c r="FD61" i="35569" s="1"/>
  <c r="FE61" i="35569"/>
  <c r="FF61" i="35569" s="1"/>
  <c r="FG61" i="35569"/>
  <c r="FH61" i="35569" s="1"/>
  <c r="AF62" i="35569"/>
  <c r="AG62" i="35569"/>
  <c r="AH62" i="35569"/>
  <c r="AI62" i="35569"/>
  <c r="AJ62" i="35569"/>
  <c r="AK62" i="35569"/>
  <c r="AL62" i="35569"/>
  <c r="AM62" i="35569"/>
  <c r="AN62" i="35569"/>
  <c r="AO62" i="35569"/>
  <c r="AP62" i="35569"/>
  <c r="AQ62" i="35569"/>
  <c r="AU62" i="35569"/>
  <c r="AV62" i="35569" s="1"/>
  <c r="AW62" i="35569"/>
  <c r="AX62" i="35569" s="1"/>
  <c r="AY62" i="35569"/>
  <c r="AZ62" i="35569" s="1"/>
  <c r="BA62" i="35569"/>
  <c r="BB62" i="35569" s="1"/>
  <c r="BC62" i="35569"/>
  <c r="BD62" i="35569" s="1"/>
  <c r="BE62" i="35569"/>
  <c r="BF62" i="35569" s="1"/>
  <c r="BG62" i="35569"/>
  <c r="BH62" i="35569" s="1"/>
  <c r="BI62" i="35569"/>
  <c r="BJ62" i="35569" s="1"/>
  <c r="BK62" i="35569"/>
  <c r="BL62" i="35569" s="1"/>
  <c r="BM62" i="35569"/>
  <c r="BN62" i="35569" s="1"/>
  <c r="BO62" i="35569"/>
  <c r="BP62" i="35569" s="1"/>
  <c r="BQ62" i="35569"/>
  <c r="BR62" i="35569" s="1"/>
  <c r="BV62" i="35569"/>
  <c r="DX62" i="35569" s="1"/>
  <c r="BZ62" i="35569"/>
  <c r="DZ62" i="35569" s="1"/>
  <c r="CD62" i="35569"/>
  <c r="EB62" i="35569" s="1"/>
  <c r="CH62" i="35569"/>
  <c r="ED62" i="35569" s="1"/>
  <c r="CJ62" i="35569"/>
  <c r="EE62" i="35569" s="1"/>
  <c r="CN62" i="35569"/>
  <c r="EG62" i="35569" s="1"/>
  <c r="CR62" i="35569"/>
  <c r="EI62" i="35569" s="1"/>
  <c r="CX62" i="35569"/>
  <c r="CZ62" i="35569"/>
  <c r="DB62" i="35569"/>
  <c r="DE62" i="35569"/>
  <c r="DG62" i="35569"/>
  <c r="DY62" i="35569"/>
  <c r="EA62" i="35569"/>
  <c r="EC62" i="35569"/>
  <c r="EF62" i="35569"/>
  <c r="EH62" i="35569"/>
  <c r="EK62" i="35569"/>
  <c r="EL62" i="35569" s="1"/>
  <c r="EM62" i="35569"/>
  <c r="EN62" i="35569"/>
  <c r="EO62" i="35569"/>
  <c r="EP62" i="35569" s="1"/>
  <c r="ER62" i="35569"/>
  <c r="ES62" i="35569"/>
  <c r="ET62" i="35569" s="1"/>
  <c r="EU62" i="35569"/>
  <c r="EV62" i="35569"/>
  <c r="EW62" i="35569"/>
  <c r="EX62" i="35569" s="1"/>
  <c r="EY62" i="35569"/>
  <c r="EZ62" i="35569" s="1"/>
  <c r="FA62" i="35569"/>
  <c r="FB62" i="35569"/>
  <c r="FC62" i="35569"/>
  <c r="FD62" i="35569" s="1"/>
  <c r="FE62" i="35569"/>
  <c r="FF62" i="35569"/>
  <c r="FG62" i="35569"/>
  <c r="FH62" i="35569" s="1"/>
  <c r="E68" i="35569"/>
  <c r="G68" i="35569"/>
  <c r="I68" i="35569"/>
  <c r="K68" i="35569"/>
  <c r="M68" i="35569"/>
  <c r="O68" i="35569"/>
  <c r="Q68" i="35569"/>
  <c r="S68" i="35569"/>
  <c r="U68" i="35569"/>
  <c r="W68" i="35569"/>
  <c r="Y68" i="35569"/>
  <c r="AA68" i="35569"/>
  <c r="E84" i="35569"/>
  <c r="E86" i="35569" s="1"/>
  <c r="G84" i="35569"/>
  <c r="G86" i="35569" s="1"/>
  <c r="I84" i="35569"/>
  <c r="I85" i="35569" s="1"/>
  <c r="K84" i="35569"/>
  <c r="K85" i="35569" s="1"/>
  <c r="M84" i="35569"/>
  <c r="M85" i="35569" s="1"/>
  <c r="O84" i="35569"/>
  <c r="O85" i="35569" s="1"/>
  <c r="Q84" i="35569"/>
  <c r="Q85" i="35569" s="1"/>
  <c r="S84" i="35569"/>
  <c r="S85" i="35569" s="1"/>
  <c r="U84" i="35569"/>
  <c r="U86" i="35569" s="1"/>
  <c r="W84" i="35569"/>
  <c r="W85" i="35569" s="1"/>
  <c r="Y84" i="35569"/>
  <c r="Y85" i="35569" s="1"/>
  <c r="AA84" i="35569"/>
  <c r="AA85" i="35569" s="1"/>
  <c r="F85" i="35569"/>
  <c r="H85" i="35569"/>
  <c r="J85" i="35569"/>
  <c r="L85" i="35569"/>
  <c r="N85" i="35569"/>
  <c r="P85" i="35569"/>
  <c r="R85" i="35569"/>
  <c r="T85" i="35569"/>
  <c r="V85" i="35569"/>
  <c r="X85" i="35569"/>
  <c r="Z85" i="35569"/>
  <c r="F86" i="35569"/>
  <c r="H86" i="35569"/>
  <c r="J86" i="35569"/>
  <c r="L86" i="35569"/>
  <c r="N86" i="35569"/>
  <c r="P86" i="35569"/>
  <c r="R86" i="35569"/>
  <c r="T86" i="35569"/>
  <c r="V86" i="35569"/>
  <c r="X86" i="35569"/>
  <c r="Z86" i="35569"/>
  <c r="BS88" i="35569"/>
  <c r="BX91" i="35569"/>
  <c r="BZ91" i="35569"/>
  <c r="CB91" i="35569"/>
  <c r="CD91" i="35569"/>
  <c r="CF91" i="35569"/>
  <c r="CH91" i="35569"/>
  <c r="CJ91" i="35569"/>
  <c r="CL91" i="35569"/>
  <c r="CN91" i="35569"/>
  <c r="CP91" i="35569"/>
  <c r="CR91" i="35569"/>
  <c r="EM91" i="35569"/>
  <c r="EO91" i="35569"/>
  <c r="EQ91" i="35569"/>
  <c r="ES91" i="35569"/>
  <c r="EU91" i="35569"/>
  <c r="EW91" i="35569"/>
  <c r="EY91" i="35569"/>
  <c r="FA91" i="35569"/>
  <c r="FC91" i="35569"/>
  <c r="FE91" i="35569"/>
  <c r="FG91" i="35569"/>
  <c r="BX92" i="35569"/>
  <c r="BZ92" i="35569"/>
  <c r="CB92" i="35569"/>
  <c r="CD92" i="35569"/>
  <c r="CF92" i="35569"/>
  <c r="CH92" i="35569"/>
  <c r="CJ92" i="35569"/>
  <c r="CL92" i="35569"/>
  <c r="CN92" i="35569"/>
  <c r="CP92" i="35569"/>
  <c r="CR92" i="35569"/>
  <c r="EM92" i="35569"/>
  <c r="EO92" i="35569"/>
  <c r="EQ92" i="35569"/>
  <c r="ES92" i="35569"/>
  <c r="EU92" i="35569"/>
  <c r="EW92" i="35569"/>
  <c r="EY92" i="35569"/>
  <c r="FA92" i="35569"/>
  <c r="FC92" i="35569"/>
  <c r="FE92" i="35569"/>
  <c r="FG92" i="35569"/>
  <c r="E93" i="35569"/>
  <c r="G93" i="35569"/>
  <c r="I93" i="35569"/>
  <c r="K93" i="35569"/>
  <c r="M93" i="35569"/>
  <c r="O93" i="35569"/>
  <c r="Q93" i="35569"/>
  <c r="S93" i="35569"/>
  <c r="U93" i="35569"/>
  <c r="W93" i="35569"/>
  <c r="Y93" i="35569"/>
  <c r="AA93" i="35569"/>
  <c r="D101" i="35569"/>
  <c r="G35" i="35581"/>
  <c r="C72" i="35581"/>
  <c r="I86" i="35581"/>
  <c r="H97" i="35581"/>
  <c r="I109" i="35581"/>
  <c r="O116" i="35581"/>
  <c r="O117" i="35581" s="1"/>
  <c r="F7" i="35581"/>
  <c r="J7" i="35581"/>
  <c r="P7" i="35571"/>
  <c r="U7" i="35581" s="1"/>
  <c r="E15" i="35571"/>
  <c r="E19" i="35571" s="1"/>
  <c r="E40" i="35571"/>
  <c r="E41" i="35571" s="1"/>
  <c r="E43" i="35571" s="1"/>
  <c r="O7" i="35600"/>
  <c r="F15" i="35600"/>
  <c r="O15" i="35600" s="1"/>
  <c r="E55" i="35600" s="1"/>
  <c r="AE25" i="35600"/>
  <c r="AE26" i="35600"/>
  <c r="AE27" i="35600"/>
  <c r="AE28" i="35600"/>
  <c r="AE29" i="35600"/>
  <c r="Q50" i="35600"/>
  <c r="B51" i="35600"/>
  <c r="H55" i="35600"/>
  <c r="H56" i="35600" s="1"/>
  <c r="H57" i="35600" s="1"/>
  <c r="H58" i="35600" s="1"/>
  <c r="H59" i="35600" s="1"/>
  <c r="H60" i="35600" s="1"/>
  <c r="H61" i="35600" s="1"/>
  <c r="H62" i="35600" s="1"/>
  <c r="H63" i="35600" s="1"/>
  <c r="H64" i="35600" s="1"/>
  <c r="H65" i="35600" s="1"/>
  <c r="H66" i="35600" s="1"/>
  <c r="H67" i="35600" s="1"/>
  <c r="H68" i="35600" s="1"/>
  <c r="H69" i="35600" s="1"/>
  <c r="H70" i="35600" s="1"/>
  <c r="H71" i="35600" s="1"/>
  <c r="H72" i="35600" s="1"/>
  <c r="H73" i="35600" s="1"/>
  <c r="H74" i="35600" s="1"/>
  <c r="H75" i="35600" s="1"/>
  <c r="H76" i="35600" s="1"/>
  <c r="H77" i="35600" s="1"/>
  <c r="H78" i="35600" s="1"/>
  <c r="H79" i="35600" s="1"/>
  <c r="H80" i="35600" s="1"/>
  <c r="H81" i="35600" s="1"/>
  <c r="H82" i="35600" s="1"/>
  <c r="H83" i="35600" s="1"/>
  <c r="H84" i="35600" s="1"/>
  <c r="H85" i="35600" s="1"/>
  <c r="H86" i="35600" s="1"/>
  <c r="H87" i="35600" s="1"/>
  <c r="H88" i="35600" s="1"/>
  <c r="H89" i="35600" s="1"/>
  <c r="H90" i="35600" s="1"/>
  <c r="H91" i="35600" s="1"/>
  <c r="H92" i="35600" s="1"/>
  <c r="H93" i="35600" s="1"/>
  <c r="H94" i="35600" s="1"/>
  <c r="H95" i="35600" s="1"/>
  <c r="H96" i="35600" s="1"/>
  <c r="H97" i="35600" s="1"/>
  <c r="H98" i="35600" s="1"/>
  <c r="H99" i="35600" s="1"/>
  <c r="H100" i="35600" s="1"/>
  <c r="H101" i="35600" s="1"/>
  <c r="H102" i="35600" s="1"/>
  <c r="H103" i="35600" s="1"/>
  <c r="H104" i="35600" s="1"/>
  <c r="H105" i="35600" s="1"/>
  <c r="H106" i="35600" s="1"/>
  <c r="H107" i="35600" s="1"/>
  <c r="H108" i="35600" s="1"/>
  <c r="H109" i="35600" s="1"/>
  <c r="H110" i="35600" s="1"/>
  <c r="H111" i="35600" s="1"/>
  <c r="H112" i="35600" s="1"/>
  <c r="H113" i="35600" s="1"/>
  <c r="H114" i="35600" s="1"/>
  <c r="H115" i="35600" s="1"/>
  <c r="H116" i="35600" s="1"/>
  <c r="H117" i="35600" s="1"/>
  <c r="H118" i="35600" s="1"/>
  <c r="H119" i="35600" s="1"/>
  <c r="H120" i="35600" s="1"/>
  <c r="H121" i="35600" s="1"/>
  <c r="H122" i="35600" s="1"/>
  <c r="H123" i="35600" s="1"/>
  <c r="H124" i="35600" s="1"/>
  <c r="H125" i="35600" s="1"/>
  <c r="H126" i="35600" s="1"/>
  <c r="H127" i="35600" s="1"/>
  <c r="H128" i="35600" s="1"/>
  <c r="H129" i="35600" s="1"/>
  <c r="H130" i="35600" s="1"/>
  <c r="H131" i="35600" s="1"/>
  <c r="H132" i="35600" s="1"/>
  <c r="H133" i="35600" s="1"/>
  <c r="H134" i="35600" s="1"/>
  <c r="H135" i="35600" s="1"/>
  <c r="H136" i="35600" s="1"/>
  <c r="H137" i="35600" s="1"/>
  <c r="H138" i="35600" s="1"/>
  <c r="H139" i="35600" s="1"/>
  <c r="H140" i="35600" s="1"/>
  <c r="H141" i="35600" s="1"/>
  <c r="H142" i="35600" s="1"/>
  <c r="H143" i="35600" s="1"/>
  <c r="H144" i="35600" s="1"/>
  <c r="H145" i="35600" s="1"/>
  <c r="H146" i="35600" s="1"/>
  <c r="H147" i="35600" s="1"/>
  <c r="H148" i="35600" s="1"/>
  <c r="H149" i="35600" s="1"/>
  <c r="H150" i="35600" s="1"/>
  <c r="H151" i="35600" s="1"/>
  <c r="H152" i="35600" s="1"/>
  <c r="H153" i="35600" s="1"/>
  <c r="H154" i="35600" s="1"/>
  <c r="H155" i="35600" s="1"/>
  <c r="H156" i="35600" s="1"/>
  <c r="H157" i="35600" s="1"/>
  <c r="H158" i="35600" s="1"/>
  <c r="H159" i="35600" s="1"/>
  <c r="H160" i="35600" s="1"/>
  <c r="H161" i="35600" s="1"/>
  <c r="H162" i="35600" s="1"/>
  <c r="H163" i="35600" s="1"/>
  <c r="H164" i="35600" s="1"/>
  <c r="H165" i="35600" s="1"/>
  <c r="H166" i="35600" s="1"/>
  <c r="H167" i="35600" s="1"/>
  <c r="H168" i="35600" s="1"/>
  <c r="H169" i="35600" s="1"/>
  <c r="H170" i="35600" s="1"/>
  <c r="H171" i="35600" s="1"/>
  <c r="H172" i="35600" s="1"/>
  <c r="H173" i="35600" s="1"/>
  <c r="H174" i="35600" s="1"/>
  <c r="H175" i="35600" s="1"/>
  <c r="H176" i="35600" s="1"/>
  <c r="H177" i="35600" s="1"/>
  <c r="H178" i="35600" s="1"/>
  <c r="H179" i="35600" s="1"/>
  <c r="H180" i="35600" s="1"/>
  <c r="H181" i="35600" s="1"/>
  <c r="H182" i="35600" s="1"/>
  <c r="H183" i="35600" s="1"/>
  <c r="H184" i="35600" s="1"/>
  <c r="H185" i="35600" s="1"/>
  <c r="H186" i="35600" s="1"/>
  <c r="H187" i="35600" s="1"/>
  <c r="H188" i="35600" s="1"/>
  <c r="H189" i="35600" s="1"/>
  <c r="H190" i="35600" s="1"/>
  <c r="H191" i="35600" s="1"/>
  <c r="H192" i="35600" s="1"/>
  <c r="H193" i="35600" s="1"/>
  <c r="H194" i="35600" s="1"/>
  <c r="H195" i="35600" s="1"/>
  <c r="H196" i="35600" s="1"/>
  <c r="H197" i="35600" s="1"/>
  <c r="H198" i="35600" s="1"/>
  <c r="H199" i="35600" s="1"/>
  <c r="H200" i="35600" s="1"/>
  <c r="H201" i="35600" s="1"/>
  <c r="H202" i="35600" s="1"/>
  <c r="H203" i="35600" s="1"/>
  <c r="H204" i="35600" s="1"/>
  <c r="H205" i="35600" s="1"/>
  <c r="H206" i="35600" s="1"/>
  <c r="H207" i="35600" s="1"/>
  <c r="H208" i="35600" s="1"/>
  <c r="H209" i="35600" s="1"/>
  <c r="H210" i="35600" s="1"/>
  <c r="H211" i="35600" s="1"/>
  <c r="H212" i="35600" s="1"/>
  <c r="H213" i="35600" s="1"/>
  <c r="H214" i="35600" s="1"/>
  <c r="H215" i="35600" s="1"/>
  <c r="H216" i="35600" s="1"/>
  <c r="H217" i="35600" s="1"/>
  <c r="H218" i="35600" s="1"/>
  <c r="H219" i="35600" s="1"/>
  <c r="H220" i="35600" s="1"/>
  <c r="H221" i="35600" s="1"/>
  <c r="H222" i="35600" s="1"/>
  <c r="H223" i="35600" s="1"/>
  <c r="H224" i="35600" s="1"/>
  <c r="H225" i="35600" s="1"/>
  <c r="H226" i="35600" s="1"/>
  <c r="H227" i="35600" s="1"/>
  <c r="H228" i="35600" s="1"/>
  <c r="H229" i="35600" s="1"/>
  <c r="H230" i="35600" s="1"/>
  <c r="H231" i="35600" s="1"/>
  <c r="H232" i="35600" s="1"/>
  <c r="H233" i="35600" s="1"/>
  <c r="H234" i="35600" s="1"/>
  <c r="H235" i="35600" s="1"/>
  <c r="H236" i="35600" s="1"/>
  <c r="H237" i="35600" s="1"/>
  <c r="H238" i="35600" s="1"/>
  <c r="H239" i="35600" s="1"/>
  <c r="H240" i="35600" s="1"/>
  <c r="H241" i="35600" s="1"/>
  <c r="H242" i="35600" s="1"/>
  <c r="H243" i="35600" s="1"/>
  <c r="H244" i="35600" s="1"/>
  <c r="H245" i="35600" s="1"/>
  <c r="H246" i="35600" s="1"/>
  <c r="H247" i="35600" s="1"/>
  <c r="H248" i="35600" s="1"/>
  <c r="H249" i="35600" s="1"/>
  <c r="H250" i="35600" s="1"/>
  <c r="H251" i="35600" s="1"/>
  <c r="H252" i="35600" s="1"/>
  <c r="H253" i="35600" s="1"/>
  <c r="H254" i="35600" s="1"/>
  <c r="H255" i="35600" s="1"/>
  <c r="H256" i="35600" s="1"/>
  <c r="H257" i="35600" s="1"/>
  <c r="H258" i="35600" s="1"/>
  <c r="H259" i="35600" s="1"/>
  <c r="H260" i="35600" s="1"/>
  <c r="H261" i="35600" s="1"/>
  <c r="H262" i="35600" s="1"/>
  <c r="H263" i="35600" s="1"/>
  <c r="H264" i="35600" s="1"/>
  <c r="H265" i="35600" s="1"/>
  <c r="H266" i="35600" s="1"/>
  <c r="H267" i="35600" s="1"/>
  <c r="H268" i="35600" s="1"/>
  <c r="H269" i="35600" s="1"/>
  <c r="H270" i="35600" s="1"/>
  <c r="H271" i="35600" s="1"/>
  <c r="H272" i="35600" s="1"/>
  <c r="H273" i="35600" s="1"/>
  <c r="H274" i="35600" s="1"/>
  <c r="H275" i="35600" s="1"/>
  <c r="H276" i="35600" s="1"/>
  <c r="H277" i="35600" s="1"/>
  <c r="H278" i="35600" s="1"/>
  <c r="H279" i="35600" s="1"/>
  <c r="H280" i="35600" s="1"/>
  <c r="H281" i="35600" s="1"/>
  <c r="H282" i="35600" s="1"/>
  <c r="H283" i="35600" s="1"/>
  <c r="H284" i="35600" s="1"/>
  <c r="H285" i="35600" s="1"/>
  <c r="H286" i="35600" s="1"/>
  <c r="H287" i="35600" s="1"/>
  <c r="H288" i="35600" s="1"/>
  <c r="H289" i="35600" s="1"/>
  <c r="H290" i="35600" s="1"/>
  <c r="H291" i="35600" s="1"/>
  <c r="H292" i="35600" s="1"/>
  <c r="H293" i="35600" s="1"/>
  <c r="H294" i="35600" s="1"/>
  <c r="H295" i="35600" s="1"/>
  <c r="H296" i="35600" s="1"/>
  <c r="H297" i="35600" s="1"/>
  <c r="H298" i="35600" s="1"/>
  <c r="H299" i="35600" s="1"/>
  <c r="H300" i="35600" s="1"/>
  <c r="H301" i="35600" s="1"/>
  <c r="H302" i="35600" s="1"/>
  <c r="H303" i="35600" s="1"/>
  <c r="H304" i="35600" s="1"/>
  <c r="H305" i="35600" s="1"/>
  <c r="H306" i="35600" s="1"/>
  <c r="H307" i="35600" s="1"/>
  <c r="H308" i="35600" s="1"/>
  <c r="H309" i="35600" s="1"/>
  <c r="H310" i="35600" s="1"/>
  <c r="H311" i="35600" s="1"/>
  <c r="H312" i="35600" s="1"/>
  <c r="H313" i="35600" s="1"/>
  <c r="H314" i="35600" s="1"/>
  <c r="H315" i="35600" s="1"/>
  <c r="H316" i="35600" s="1"/>
  <c r="H317" i="35600" s="1"/>
  <c r="H318" i="35600" s="1"/>
  <c r="H319" i="35600" s="1"/>
  <c r="H320" i="35600" s="1"/>
  <c r="H321" i="35600" s="1"/>
  <c r="H322" i="35600" s="1"/>
  <c r="H323" i="35600" s="1"/>
  <c r="H324" i="35600" s="1"/>
  <c r="H325" i="35600" s="1"/>
  <c r="H326" i="35600" s="1"/>
  <c r="H327" i="35600" s="1"/>
  <c r="H328" i="35600" s="1"/>
  <c r="H329" i="35600" s="1"/>
  <c r="H330" i="35600" s="1"/>
  <c r="H331" i="35600" s="1"/>
  <c r="H332" i="35600" s="1"/>
  <c r="H333" i="35600" s="1"/>
  <c r="H334" i="35600" s="1"/>
  <c r="H335" i="35600" s="1"/>
  <c r="H336" i="35600" s="1"/>
  <c r="H337" i="35600" s="1"/>
  <c r="H338" i="35600" s="1"/>
  <c r="H339" i="35600" s="1"/>
  <c r="H340" i="35600" s="1"/>
  <c r="H341" i="35600" s="1"/>
  <c r="H342" i="35600" s="1"/>
  <c r="H343" i="35600" s="1"/>
  <c r="H344" i="35600" s="1"/>
  <c r="H345" i="35600" s="1"/>
  <c r="H346" i="35600" s="1"/>
  <c r="H347" i="35600" s="1"/>
  <c r="H348" i="35600" s="1"/>
  <c r="H349" i="35600" s="1"/>
  <c r="H350" i="35600" s="1"/>
  <c r="H351" i="35600" s="1"/>
  <c r="H352" i="35600" s="1"/>
  <c r="H353" i="35600" s="1"/>
  <c r="H354" i="35600" s="1"/>
  <c r="H355" i="35600" s="1"/>
  <c r="H356" i="35600" s="1"/>
  <c r="H357" i="35600" s="1"/>
  <c r="H358" i="35600" s="1"/>
  <c r="H359" i="35600" s="1"/>
  <c r="H360" i="35600" s="1"/>
  <c r="H361" i="35600" s="1"/>
  <c r="H362" i="35600" s="1"/>
  <c r="H363" i="35600" s="1"/>
  <c r="H364" i="35600" s="1"/>
  <c r="H365" i="35600" s="1"/>
  <c r="H366" i="35600" s="1"/>
  <c r="H367" i="35600" s="1"/>
  <c r="H368" i="35600" s="1"/>
  <c r="H369" i="35600" s="1"/>
  <c r="H370" i="35600" s="1"/>
  <c r="H371" i="35600" s="1"/>
  <c r="H372" i="35600" s="1"/>
  <c r="H373" i="35600" s="1"/>
  <c r="H374" i="35600" s="1"/>
  <c r="H375" i="35600" s="1"/>
  <c r="H376" i="35600" s="1"/>
  <c r="H377" i="35600" s="1"/>
  <c r="H378" i="35600" s="1"/>
  <c r="H379" i="35600" s="1"/>
  <c r="H380" i="35600" s="1"/>
  <c r="H381" i="35600" s="1"/>
  <c r="H382" i="35600" s="1"/>
  <c r="H383" i="35600" s="1"/>
  <c r="H384" i="35600" s="1"/>
  <c r="H385" i="35600" s="1"/>
  <c r="H386" i="35600" s="1"/>
  <c r="H387" i="35600" s="1"/>
  <c r="H388" i="35600" s="1"/>
  <c r="H389" i="35600" s="1"/>
  <c r="H390" i="35600" s="1"/>
  <c r="H391" i="35600" s="1"/>
  <c r="H392" i="35600" s="1"/>
  <c r="H393" i="35600" s="1"/>
  <c r="H394" i="35600" s="1"/>
  <c r="H395" i="35600" s="1"/>
  <c r="H396" i="35600" s="1"/>
  <c r="H397" i="35600" s="1"/>
  <c r="H398" i="35600" s="1"/>
  <c r="H399" i="35600" s="1"/>
  <c r="H400" i="35600" s="1"/>
  <c r="H401" i="35600" s="1"/>
  <c r="H402" i="35600" s="1"/>
  <c r="H403" i="35600" s="1"/>
  <c r="H404" i="35600" s="1"/>
  <c r="H405" i="35600" s="1"/>
  <c r="H406" i="35600" s="1"/>
  <c r="H407" i="35600" s="1"/>
  <c r="H408" i="35600" s="1"/>
  <c r="H409" i="35600" s="1"/>
  <c r="H410" i="35600" s="1"/>
  <c r="H411" i="35600" s="1"/>
  <c r="H412" i="35600" s="1"/>
  <c r="H413" i="35600" s="1"/>
  <c r="H414" i="35600" s="1"/>
  <c r="H415" i="35600" s="1"/>
  <c r="H416" i="35600" s="1"/>
  <c r="H417" i="35600" s="1"/>
  <c r="H418" i="35600" s="1"/>
  <c r="H419" i="35600" s="1"/>
  <c r="I55" i="35600"/>
  <c r="I56" i="35600"/>
  <c r="I57" i="35600"/>
  <c r="I58" i="35600"/>
  <c r="I59" i="35600"/>
  <c r="I60" i="35600"/>
  <c r="I61" i="35600"/>
  <c r="I62" i="35600"/>
  <c r="I63" i="35600"/>
  <c r="I64" i="35600"/>
  <c r="I65" i="35600"/>
  <c r="I66" i="35600"/>
  <c r="I67" i="35600"/>
  <c r="I68" i="35600"/>
  <c r="I69" i="35600"/>
  <c r="I70" i="35600"/>
  <c r="I71" i="35600"/>
  <c r="I72" i="35600"/>
  <c r="I73" i="35600"/>
  <c r="I74" i="35600"/>
  <c r="I75" i="35600"/>
  <c r="I76" i="35600"/>
  <c r="I77" i="35600"/>
  <c r="I78" i="35600"/>
  <c r="I79" i="35600"/>
  <c r="I80" i="35600"/>
  <c r="I81" i="35600"/>
  <c r="I82" i="35600"/>
  <c r="I83" i="35600"/>
  <c r="I84" i="35600"/>
  <c r="I85" i="35600"/>
  <c r="I86" i="35600"/>
  <c r="I87" i="35600"/>
  <c r="I88" i="35600"/>
  <c r="I89" i="35600"/>
  <c r="I90" i="35600"/>
  <c r="I91" i="35600"/>
  <c r="I92" i="35600"/>
  <c r="I93" i="35600"/>
  <c r="I94" i="35600"/>
  <c r="I95" i="35600"/>
  <c r="I96" i="35600"/>
  <c r="I97" i="35600"/>
  <c r="I98" i="35600"/>
  <c r="I99" i="35600"/>
  <c r="I100" i="35600"/>
  <c r="I101" i="35600"/>
  <c r="I102" i="35600"/>
  <c r="I103" i="35600"/>
  <c r="I104" i="35600"/>
  <c r="I105" i="35600"/>
  <c r="I106" i="35600"/>
  <c r="I107" i="35600"/>
  <c r="I108" i="35600"/>
  <c r="I109" i="35600"/>
  <c r="I110" i="35600"/>
  <c r="I111" i="35600"/>
  <c r="I112" i="35600"/>
  <c r="I113" i="35600"/>
  <c r="I114" i="35600"/>
  <c r="I115" i="35600"/>
  <c r="I116" i="35600"/>
  <c r="I117" i="35600"/>
  <c r="I118" i="35600"/>
  <c r="I119" i="35600"/>
  <c r="I120" i="35600"/>
  <c r="I121" i="35600"/>
  <c r="I122" i="35600"/>
  <c r="I123" i="35600"/>
  <c r="I124" i="35600"/>
  <c r="I125" i="35600"/>
  <c r="I126" i="35600"/>
  <c r="I127" i="35600"/>
  <c r="I128" i="35600"/>
  <c r="I129" i="35600"/>
  <c r="I130" i="35600"/>
  <c r="I131" i="35600"/>
  <c r="I132" i="35600"/>
  <c r="I133" i="35600"/>
  <c r="I134" i="35600"/>
  <c r="I135" i="35600"/>
  <c r="I136" i="35600"/>
  <c r="I137" i="35600"/>
  <c r="I138" i="35600"/>
  <c r="I139" i="35600"/>
  <c r="I140" i="35600"/>
  <c r="I141" i="35600"/>
  <c r="I142" i="35600"/>
  <c r="I143" i="35600"/>
  <c r="I144" i="35600"/>
  <c r="I145" i="35600"/>
  <c r="I146" i="35600"/>
  <c r="I147" i="35600"/>
  <c r="I148" i="35600"/>
  <c r="I149" i="35600"/>
  <c r="I150" i="35600"/>
  <c r="I151" i="35600"/>
  <c r="I152" i="35600"/>
  <c r="I153" i="35600"/>
  <c r="I154" i="35600"/>
  <c r="I155" i="35600"/>
  <c r="I156" i="35600"/>
  <c r="I157" i="35600"/>
  <c r="I158" i="35600"/>
  <c r="I159" i="35600"/>
  <c r="I160" i="35600"/>
  <c r="I161" i="35600"/>
  <c r="I162" i="35600"/>
  <c r="I163" i="35600"/>
  <c r="I164" i="35600"/>
  <c r="I165" i="35600"/>
  <c r="I166" i="35600"/>
  <c r="I167" i="35600"/>
  <c r="I168" i="35600"/>
  <c r="I169" i="35600"/>
  <c r="I170" i="35600"/>
  <c r="I171" i="35600"/>
  <c r="I172" i="35600"/>
  <c r="I173" i="35600"/>
  <c r="I174" i="35600"/>
  <c r="I175" i="35600"/>
  <c r="I176" i="35600"/>
  <c r="I177" i="35600"/>
  <c r="I178" i="35600"/>
  <c r="I179" i="35600"/>
  <c r="I180" i="35600"/>
  <c r="I181" i="35600"/>
  <c r="I182" i="35600"/>
  <c r="I183" i="35600"/>
  <c r="I184" i="35600"/>
  <c r="I185" i="35600"/>
  <c r="I186" i="35600"/>
  <c r="I187" i="35600"/>
  <c r="I188" i="35600"/>
  <c r="I189" i="35600"/>
  <c r="I190" i="35600"/>
  <c r="I191" i="35600"/>
  <c r="I192" i="35600"/>
  <c r="I193" i="35600"/>
  <c r="I194" i="35600"/>
  <c r="I195" i="35600"/>
  <c r="I196" i="35600"/>
  <c r="I197" i="35600"/>
  <c r="I198" i="35600"/>
  <c r="I199" i="35600"/>
  <c r="I200" i="35600"/>
  <c r="I201" i="35600"/>
  <c r="I202" i="35600"/>
  <c r="I203" i="35600"/>
  <c r="I204" i="35600"/>
  <c r="I205" i="35600"/>
  <c r="I206" i="35600"/>
  <c r="I207" i="35600"/>
  <c r="I208" i="35600"/>
  <c r="I209" i="35600"/>
  <c r="I210" i="35600"/>
  <c r="I211" i="35600"/>
  <c r="I212" i="35600"/>
  <c r="I213" i="35600"/>
  <c r="I214" i="35600"/>
  <c r="I215" i="35600"/>
  <c r="I216" i="35600"/>
  <c r="I217" i="35600"/>
  <c r="I218" i="35600"/>
  <c r="I219" i="35600"/>
  <c r="I220" i="35600"/>
  <c r="I221" i="35600"/>
  <c r="I222" i="35600"/>
  <c r="I223" i="35600"/>
  <c r="I224" i="35600"/>
  <c r="I225" i="35600"/>
  <c r="I226" i="35600"/>
  <c r="I227" i="35600"/>
  <c r="I228" i="35600"/>
  <c r="I229" i="35600"/>
  <c r="I230" i="35600"/>
  <c r="I231" i="35600"/>
  <c r="I232" i="35600"/>
  <c r="I233" i="35600"/>
  <c r="I234" i="35600"/>
  <c r="I235" i="35600"/>
  <c r="I236" i="35600"/>
  <c r="I237" i="35600"/>
  <c r="I238" i="35600"/>
  <c r="I239" i="35600"/>
  <c r="I240" i="35600"/>
  <c r="I241" i="35600"/>
  <c r="I242" i="35600"/>
  <c r="I243" i="35600"/>
  <c r="I244" i="35600"/>
  <c r="I245" i="35600"/>
  <c r="I246" i="35600"/>
  <c r="I247" i="35600"/>
  <c r="I248" i="35600"/>
  <c r="I249" i="35600"/>
  <c r="I250" i="35600"/>
  <c r="I251" i="35600"/>
  <c r="I252" i="35600"/>
  <c r="I253" i="35600"/>
  <c r="I254" i="35600"/>
  <c r="I255" i="35600"/>
  <c r="I256" i="35600"/>
  <c r="I257" i="35600"/>
  <c r="I258" i="35600"/>
  <c r="I259" i="35600"/>
  <c r="I260" i="35600"/>
  <c r="I261" i="35600"/>
  <c r="I262" i="35600"/>
  <c r="I263" i="35600"/>
  <c r="I264" i="35600"/>
  <c r="I265" i="35600"/>
  <c r="I266" i="35600"/>
  <c r="I267" i="35600"/>
  <c r="I268" i="35600"/>
  <c r="I269" i="35600"/>
  <c r="I270" i="35600"/>
  <c r="I271" i="35600"/>
  <c r="I272" i="35600"/>
  <c r="I273" i="35600"/>
  <c r="I274" i="35600"/>
  <c r="I275" i="35600"/>
  <c r="I276" i="35600"/>
  <c r="I277" i="35600"/>
  <c r="I278" i="35600"/>
  <c r="I279" i="35600"/>
  <c r="I280" i="35600"/>
  <c r="I281" i="35600"/>
  <c r="I282" i="35600"/>
  <c r="I283" i="35600"/>
  <c r="I284" i="35600"/>
  <c r="I285" i="35600"/>
  <c r="I286" i="35600"/>
  <c r="I287" i="35600"/>
  <c r="I288" i="35600"/>
  <c r="I289" i="35600"/>
  <c r="I290" i="35600"/>
  <c r="I291" i="35600"/>
  <c r="I292" i="35600"/>
  <c r="I293" i="35600"/>
  <c r="I294" i="35600"/>
  <c r="I295" i="35600"/>
  <c r="I296" i="35600"/>
  <c r="I297" i="35600"/>
  <c r="I298" i="35600"/>
  <c r="I299" i="35600"/>
  <c r="I300" i="35600"/>
  <c r="I301" i="35600"/>
  <c r="I302" i="35600"/>
  <c r="I303" i="35600"/>
  <c r="I304" i="35600"/>
  <c r="I305" i="35600"/>
  <c r="I306" i="35600"/>
  <c r="I307" i="35600"/>
  <c r="I308" i="35600"/>
  <c r="I309" i="35600"/>
  <c r="I310" i="35600"/>
  <c r="I311" i="35600"/>
  <c r="I312" i="35600"/>
  <c r="I313" i="35600"/>
  <c r="I314" i="35600"/>
  <c r="I315" i="35600"/>
  <c r="I316" i="35600"/>
  <c r="I317" i="35600"/>
  <c r="I318" i="35600"/>
  <c r="I319" i="35600"/>
  <c r="I320" i="35600"/>
  <c r="I321" i="35600"/>
  <c r="I322" i="35600"/>
  <c r="I323" i="35600"/>
  <c r="I324" i="35600"/>
  <c r="I325" i="35600"/>
  <c r="I326" i="35600"/>
  <c r="I327" i="35600"/>
  <c r="I328" i="35600"/>
  <c r="I329" i="35600"/>
  <c r="I330" i="35600"/>
  <c r="I331" i="35600"/>
  <c r="I332" i="35600"/>
  <c r="I333" i="35600"/>
  <c r="I334" i="35600"/>
  <c r="I335" i="35600"/>
  <c r="I336" i="35600"/>
  <c r="I337" i="35600"/>
  <c r="I338" i="35600"/>
  <c r="I339" i="35600"/>
  <c r="I340" i="35600"/>
  <c r="I341" i="35600"/>
  <c r="I342" i="35600"/>
  <c r="I343" i="35600"/>
  <c r="I344" i="35600"/>
  <c r="I345" i="35600"/>
  <c r="I346" i="35600"/>
  <c r="I347" i="35600"/>
  <c r="I348" i="35600"/>
  <c r="I349" i="35600"/>
  <c r="I350" i="35600"/>
  <c r="I351" i="35600"/>
  <c r="I352" i="35600"/>
  <c r="I353" i="35600"/>
  <c r="I354" i="35600"/>
  <c r="I355" i="35600"/>
  <c r="I356" i="35600"/>
  <c r="I357" i="35600"/>
  <c r="I358" i="35600"/>
  <c r="I359" i="35600"/>
  <c r="I360" i="35600"/>
  <c r="I361" i="35600"/>
  <c r="I362" i="35600"/>
  <c r="I363" i="35600"/>
  <c r="I364" i="35600"/>
  <c r="I365" i="35600"/>
  <c r="I366" i="35600"/>
  <c r="I367" i="35600"/>
  <c r="I368" i="35600"/>
  <c r="I369" i="35600"/>
  <c r="I370" i="35600"/>
  <c r="I371" i="35600"/>
  <c r="I372" i="35600"/>
  <c r="I373" i="35600"/>
  <c r="I374" i="35600"/>
  <c r="I375" i="35600"/>
  <c r="I376" i="35600"/>
  <c r="I377" i="35600"/>
  <c r="I378" i="35600"/>
  <c r="I379" i="35600"/>
  <c r="I380" i="35600"/>
  <c r="I381" i="35600"/>
  <c r="I382" i="35600"/>
  <c r="I383" i="35600"/>
  <c r="I384" i="35600"/>
  <c r="I385" i="35600"/>
  <c r="I386" i="35600"/>
  <c r="I387" i="35600"/>
  <c r="I388" i="35600"/>
  <c r="I389" i="35600"/>
  <c r="I390" i="35600"/>
  <c r="I391" i="35600"/>
  <c r="I392" i="35600"/>
  <c r="I393" i="35600"/>
  <c r="I394" i="35600"/>
  <c r="I395" i="35600"/>
  <c r="I396" i="35600"/>
  <c r="I397" i="35600"/>
  <c r="I398" i="35600"/>
  <c r="I399" i="35600"/>
  <c r="I400" i="35600"/>
  <c r="I401" i="35600"/>
  <c r="I402" i="35600"/>
  <c r="I403" i="35600"/>
  <c r="I404" i="35600"/>
  <c r="I405" i="35600"/>
  <c r="I406" i="35600"/>
  <c r="I407" i="35600"/>
  <c r="I408" i="35600"/>
  <c r="I409" i="35600"/>
  <c r="I410" i="35600"/>
  <c r="I411" i="35600"/>
  <c r="I412" i="35600"/>
  <c r="I413" i="35600"/>
  <c r="I414" i="35600"/>
  <c r="I415" i="35600"/>
  <c r="I416" i="35600"/>
  <c r="I417" i="35600"/>
  <c r="I418" i="35600"/>
  <c r="I419" i="35600"/>
  <c r="Q7" i="35572"/>
  <c r="O33" i="35571"/>
  <c r="O35" i="35571"/>
  <c r="I35" i="35571"/>
  <c r="I33" i="35571"/>
  <c r="M33" i="35571"/>
  <c r="M35" i="35571"/>
  <c r="G33" i="35571"/>
  <c r="G35" i="35571"/>
  <c r="P33" i="35571"/>
  <c r="P35" i="35571"/>
  <c r="N33" i="35571"/>
  <c r="N35" i="35571"/>
  <c r="L33" i="35571"/>
  <c r="L35" i="35571"/>
  <c r="J33" i="35571"/>
  <c r="J35" i="35571"/>
  <c r="H33" i="35571"/>
  <c r="H35" i="35571"/>
  <c r="F33" i="35571"/>
  <c r="F35" i="35571"/>
  <c r="E33" i="35571"/>
  <c r="E35" i="35571"/>
  <c r="P34" i="35601"/>
  <c r="Z380" i="35601" s="1"/>
  <c r="BJ89" i="35569" l="1"/>
  <c r="BR95" i="35569"/>
  <c r="W86" i="35569"/>
  <c r="U85" i="35569"/>
  <c r="Q86" i="35569"/>
  <c r="EV23" i="35569"/>
  <c r="BY94" i="35569"/>
  <c r="EN94" i="35569"/>
  <c r="AF89" i="35569"/>
  <c r="AJ89" i="35569"/>
  <c r="AH89" i="35569"/>
  <c r="DY59" i="35569"/>
  <c r="AI89" i="35569"/>
  <c r="FF94" i="35569"/>
  <c r="FB94" i="35569"/>
  <c r="AA86" i="35569"/>
  <c r="AB93" i="35569"/>
  <c r="O43" i="35571"/>
  <c r="H106" i="35581" s="1"/>
  <c r="I106" i="35581" s="1"/>
  <c r="AB68" i="35569"/>
  <c r="H21" i="35581" s="1"/>
  <c r="I21" i="35581" s="1"/>
  <c r="L21" i="35581" s="1"/>
  <c r="AF65" i="35569"/>
  <c r="N18" i="35581" s="1"/>
  <c r="AG89" i="35569"/>
  <c r="CC94" i="35569"/>
  <c r="AO89" i="35569"/>
  <c r="M86" i="35569"/>
  <c r="CQ94" i="35569"/>
  <c r="FD94" i="35569"/>
  <c r="CE94" i="35569"/>
  <c r="CS94" i="35569"/>
  <c r="EN88" i="35569"/>
  <c r="G66" i="35569" s="1"/>
  <c r="I86" i="35569"/>
  <c r="EV94" i="35569"/>
  <c r="CM94" i="35569"/>
  <c r="E215" i="35600"/>
  <c r="E216" i="35600"/>
  <c r="E217" i="35600"/>
  <c r="E218" i="35600"/>
  <c r="E219" i="35600"/>
  <c r="E220" i="35600"/>
  <c r="E221" i="35600"/>
  <c r="E222" i="35600"/>
  <c r="E223" i="35600"/>
  <c r="E224" i="35600"/>
  <c r="E225" i="35600"/>
  <c r="E226" i="35600"/>
  <c r="E227" i="35600"/>
  <c r="E228" i="35600"/>
  <c r="E229" i="35600"/>
  <c r="E230" i="35600"/>
  <c r="E231" i="35600"/>
  <c r="E232" i="35600"/>
  <c r="E233" i="35600"/>
  <c r="E234" i="35600"/>
  <c r="E235" i="35600"/>
  <c r="E236" i="35600"/>
  <c r="E237" i="35600"/>
  <c r="E238" i="35600"/>
  <c r="E239" i="35600"/>
  <c r="E240" i="35600"/>
  <c r="E241" i="35600"/>
  <c r="E242" i="35600"/>
  <c r="E243" i="35600"/>
  <c r="E244" i="35600"/>
  <c r="E245" i="35600"/>
  <c r="E246" i="35600"/>
  <c r="E247" i="35600"/>
  <c r="E248" i="35600"/>
  <c r="E249" i="35600"/>
  <c r="E250" i="35600"/>
  <c r="E251" i="35600"/>
  <c r="E252" i="35600"/>
  <c r="E253" i="35600"/>
  <c r="E254" i="35600"/>
  <c r="E255" i="35600"/>
  <c r="E256" i="35600"/>
  <c r="E257" i="35600"/>
  <c r="E258" i="35600"/>
  <c r="E259" i="35600"/>
  <c r="E260" i="35600"/>
  <c r="E261" i="35600"/>
  <c r="E262" i="35600"/>
  <c r="E263" i="35600"/>
  <c r="E264" i="35600"/>
  <c r="E265" i="35600"/>
  <c r="E266" i="35600"/>
  <c r="E267" i="35600"/>
  <c r="E268" i="35600"/>
  <c r="E269" i="35600"/>
  <c r="E270" i="35600"/>
  <c r="E271" i="35600"/>
  <c r="E272" i="35600"/>
  <c r="E273" i="35600"/>
  <c r="E274" i="35600"/>
  <c r="E275" i="35600"/>
  <c r="E276" i="35600"/>
  <c r="E277" i="35600"/>
  <c r="E278" i="35600"/>
  <c r="E279" i="35600"/>
  <c r="E280" i="35600"/>
  <c r="E281" i="35600"/>
  <c r="E282" i="35600"/>
  <c r="E283" i="35600"/>
  <c r="E284" i="35600"/>
  <c r="E285" i="35600"/>
  <c r="E286" i="35600"/>
  <c r="E287" i="35600"/>
  <c r="E288" i="35600"/>
  <c r="E289" i="35600"/>
  <c r="E290" i="35600"/>
  <c r="E291" i="35600"/>
  <c r="E292" i="35600"/>
  <c r="E293" i="35600"/>
  <c r="E294" i="35600"/>
  <c r="E295" i="35600"/>
  <c r="E296" i="35600"/>
  <c r="E297" i="35600"/>
  <c r="E298" i="35600"/>
  <c r="E299" i="35600"/>
  <c r="E300" i="35600"/>
  <c r="E301" i="35600"/>
  <c r="E302" i="35600"/>
  <c r="E303" i="35600"/>
  <c r="E304" i="35600"/>
  <c r="E305" i="35600"/>
  <c r="E306" i="35600"/>
  <c r="E307" i="35600"/>
  <c r="E308" i="35600"/>
  <c r="E309" i="35600"/>
  <c r="E310" i="35600"/>
  <c r="E311" i="35600"/>
  <c r="E312" i="35600"/>
  <c r="E313" i="35600"/>
  <c r="E314" i="35600"/>
  <c r="E315" i="35600"/>
  <c r="E316" i="35600"/>
  <c r="E317" i="35600"/>
  <c r="E318" i="35600"/>
  <c r="E319" i="35600"/>
  <c r="E320" i="35600"/>
  <c r="E321" i="35600"/>
  <c r="E322" i="35600"/>
  <c r="E323" i="35600"/>
  <c r="E324" i="35600"/>
  <c r="E325" i="35600"/>
  <c r="E326" i="35600"/>
  <c r="E327" i="35600"/>
  <c r="E328" i="35600"/>
  <c r="E329" i="35600"/>
  <c r="E330" i="35600"/>
  <c r="E331" i="35600"/>
  <c r="E332" i="35600"/>
  <c r="E333" i="35600"/>
  <c r="E334" i="35600"/>
  <c r="E335" i="35600"/>
  <c r="E336" i="35600"/>
  <c r="E337" i="35600"/>
  <c r="E338" i="35600"/>
  <c r="E339" i="35600"/>
  <c r="E340" i="35600"/>
  <c r="E341" i="35600"/>
  <c r="E342" i="35600"/>
  <c r="E343" i="35600"/>
  <c r="E344" i="35600"/>
  <c r="E345" i="35600"/>
  <c r="E347" i="35600"/>
  <c r="E348" i="35600"/>
  <c r="E349" i="35600"/>
  <c r="E350" i="35600"/>
  <c r="E351" i="35600"/>
  <c r="E352" i="35600"/>
  <c r="E353" i="35600"/>
  <c r="E354" i="35600"/>
  <c r="E355" i="35600"/>
  <c r="E356" i="35600"/>
  <c r="E358" i="35600"/>
  <c r="E360" i="35600"/>
  <c r="E362" i="35600"/>
  <c r="E364" i="35600"/>
  <c r="E367" i="35600"/>
  <c r="E369" i="35600"/>
  <c r="E371" i="35600"/>
  <c r="E373" i="35600"/>
  <c r="E375" i="35600"/>
  <c r="E377" i="35600"/>
  <c r="E379" i="35600"/>
  <c r="E381" i="35600"/>
  <c r="E383" i="35600"/>
  <c r="E385" i="35600"/>
  <c r="E387" i="35600"/>
  <c r="E389" i="35600"/>
  <c r="E391" i="35600"/>
  <c r="E393" i="35600"/>
  <c r="E395" i="35600"/>
  <c r="E398" i="35600"/>
  <c r="E401" i="35600"/>
  <c r="E403" i="35600"/>
  <c r="E405" i="35600"/>
  <c r="E407" i="35600"/>
  <c r="E409" i="35600"/>
  <c r="E411" i="35600"/>
  <c r="E413" i="35600"/>
  <c r="E415" i="35600"/>
  <c r="E417" i="35600"/>
  <c r="E419" i="35600"/>
  <c r="E57" i="35600"/>
  <c r="E61" i="35600"/>
  <c r="E65" i="35600"/>
  <c r="E69" i="35600"/>
  <c r="E73" i="35600"/>
  <c r="E77" i="35600"/>
  <c r="E81" i="35600"/>
  <c r="E85" i="35600"/>
  <c r="E89" i="35600"/>
  <c r="E93" i="35600"/>
  <c r="E97" i="35600"/>
  <c r="E101" i="35600"/>
  <c r="E105" i="35600"/>
  <c r="E109" i="35600"/>
  <c r="E113" i="35600"/>
  <c r="E117" i="35600"/>
  <c r="E121" i="35600"/>
  <c r="E125" i="35600"/>
  <c r="E129" i="35600"/>
  <c r="E133" i="35600"/>
  <c r="E137" i="35600"/>
  <c r="E141" i="35600"/>
  <c r="E145" i="35600"/>
  <c r="E149" i="35600"/>
  <c r="E153" i="35600"/>
  <c r="E161" i="35600"/>
  <c r="E86" i="35600"/>
  <c r="E82" i="35600"/>
  <c r="E78" i="35600"/>
  <c r="E70" i="35600"/>
  <c r="E58" i="35600"/>
  <c r="E59" i="35600"/>
  <c r="E63" i="35600"/>
  <c r="E67" i="35600"/>
  <c r="E71" i="35600"/>
  <c r="E75" i="35600"/>
  <c r="E79" i="35600"/>
  <c r="E83" i="35600"/>
  <c r="E87" i="35600"/>
  <c r="E91" i="35600"/>
  <c r="E95" i="35600"/>
  <c r="E99" i="35600"/>
  <c r="E103" i="35600"/>
  <c r="E107" i="35600"/>
  <c r="E111" i="35600"/>
  <c r="E115" i="35600"/>
  <c r="E119" i="35600"/>
  <c r="E123" i="35600"/>
  <c r="E127" i="35600"/>
  <c r="E131" i="35600"/>
  <c r="E135" i="35600"/>
  <c r="E139" i="35600"/>
  <c r="E143" i="35600"/>
  <c r="E147" i="35600"/>
  <c r="E151" i="35600"/>
  <c r="E155" i="35600"/>
  <c r="E159" i="35600"/>
  <c r="E88" i="35600"/>
  <c r="E84" i="35600"/>
  <c r="E80" i="35600"/>
  <c r="E76" i="35600"/>
  <c r="E72" i="35600"/>
  <c r="E68" i="35600"/>
  <c r="E64" i="35600"/>
  <c r="E60" i="35600"/>
  <c r="E56" i="35600"/>
  <c r="E346" i="35600"/>
  <c r="E357" i="35600"/>
  <c r="E359" i="35600"/>
  <c r="E361" i="35600"/>
  <c r="E363" i="35600"/>
  <c r="E365" i="35600"/>
  <c r="E366" i="35600"/>
  <c r="E368" i="35600"/>
  <c r="E370" i="35600"/>
  <c r="E372" i="35600"/>
  <c r="E374" i="35600"/>
  <c r="E376" i="35600"/>
  <c r="E378" i="35600"/>
  <c r="E380" i="35600"/>
  <c r="E382" i="35600"/>
  <c r="E384" i="35600"/>
  <c r="E386" i="35600"/>
  <c r="E388" i="35600"/>
  <c r="E390" i="35600"/>
  <c r="E392" i="35600"/>
  <c r="E394" i="35600"/>
  <c r="E396" i="35600"/>
  <c r="E397" i="35600"/>
  <c r="E399" i="35600"/>
  <c r="E400" i="35600"/>
  <c r="E402" i="35600"/>
  <c r="E404" i="35600"/>
  <c r="E406" i="35600"/>
  <c r="E408" i="35600"/>
  <c r="E410" i="35600"/>
  <c r="E412" i="35600"/>
  <c r="E414" i="35600"/>
  <c r="E416" i="35600"/>
  <c r="E418" i="35600"/>
  <c r="E157" i="35600"/>
  <c r="E74" i="35600"/>
  <c r="E66" i="35600"/>
  <c r="E62" i="35600"/>
  <c r="G85" i="35569"/>
  <c r="EN89" i="35569"/>
  <c r="Y86" i="35569"/>
  <c r="FH94" i="35569"/>
  <c r="EZ94" i="35569"/>
  <c r="ER94" i="35569"/>
  <c r="CI94" i="35569"/>
  <c r="BW94" i="35569"/>
  <c r="S86" i="35569"/>
  <c r="O86" i="35569"/>
  <c r="CO94" i="35569"/>
  <c r="CK94" i="35569"/>
  <c r="CG94" i="35569"/>
  <c r="AQ89" i="35569"/>
  <c r="AM89" i="35569"/>
  <c r="AK89" i="35569"/>
  <c r="AB84" i="35569"/>
  <c r="EX94" i="35569"/>
  <c r="ET94" i="35569"/>
  <c r="EP94" i="35569"/>
  <c r="EL94" i="35569"/>
  <c r="CA94" i="35569"/>
  <c r="AP89" i="35569"/>
  <c r="AN89" i="35569"/>
  <c r="AL89" i="35569"/>
  <c r="Z44" i="35601"/>
  <c r="H95" i="35581"/>
  <c r="H96" i="35581" s="1"/>
  <c r="H98" i="35581" s="1"/>
  <c r="I103" i="35581" s="1"/>
  <c r="Z205" i="35601"/>
  <c r="N34" i="35601"/>
  <c r="FH88" i="35569"/>
  <c r="AA66" i="35569" s="1"/>
  <c r="FH89" i="35569"/>
  <c r="FD88" i="35569"/>
  <c r="W66" i="35569" s="1"/>
  <c r="FD89" i="35569"/>
  <c r="W64" i="35569" s="1"/>
  <c r="EZ88" i="35569"/>
  <c r="S66" i="35569" s="1"/>
  <c r="EZ89" i="35569"/>
  <c r="EV88" i="35569"/>
  <c r="O66" i="35569" s="1"/>
  <c r="EV89" i="35569"/>
  <c r="ER89" i="35569"/>
  <c r="K64" i="35569" s="1"/>
  <c r="ER88" i="35569"/>
  <c r="K66" i="35569" s="1"/>
  <c r="BP89" i="35569"/>
  <c r="BP88" i="35569"/>
  <c r="BL89" i="35569"/>
  <c r="BL88" i="35569"/>
  <c r="BH89" i="35569"/>
  <c r="BH88" i="35569"/>
  <c r="BD89" i="35569"/>
  <c r="BD88" i="35569"/>
  <c r="AZ89" i="35569"/>
  <c r="AZ88" i="35569"/>
  <c r="AV88" i="35569"/>
  <c r="AV89" i="35569"/>
  <c r="DX18" i="35569"/>
  <c r="B26" i="35601" s="1"/>
  <c r="EL88" i="35569"/>
  <c r="E66" i="35569" s="1"/>
  <c r="FF88" i="35569"/>
  <c r="Y66" i="35569" s="1"/>
  <c r="FF89" i="35569"/>
  <c r="Y64" i="35569" s="1"/>
  <c r="FB88" i="35569"/>
  <c r="U66" i="35569" s="1"/>
  <c r="FB89" i="35569"/>
  <c r="EX88" i="35569"/>
  <c r="Q66" i="35569" s="1"/>
  <c r="EX89" i="35569"/>
  <c r="Q64" i="35569" s="1"/>
  <c r="ET88" i="35569"/>
  <c r="M66" i="35569" s="1"/>
  <c r="ET89" i="35569"/>
  <c r="M64" i="35569" s="1"/>
  <c r="EP89" i="35569"/>
  <c r="EP88" i="35569"/>
  <c r="I66" i="35569" s="1"/>
  <c r="BR88" i="35569"/>
  <c r="BR89" i="35569"/>
  <c r="BN88" i="35569"/>
  <c r="BN89" i="35569"/>
  <c r="BJ88" i="35569"/>
  <c r="BF88" i="35569"/>
  <c r="BF89" i="35569"/>
  <c r="BB88" i="35569"/>
  <c r="BB89" i="35569"/>
  <c r="AX88" i="35569"/>
  <c r="AX89" i="35569"/>
  <c r="EL89" i="35569"/>
  <c r="K86" i="35569"/>
  <c r="Z124" i="35601"/>
  <c r="Z285" i="35601"/>
  <c r="E85" i="35569"/>
  <c r="Z84" i="35601"/>
  <c r="Z164" i="35601"/>
  <c r="Z245" i="35601"/>
  <c r="Z325" i="35601"/>
  <c r="Z24" i="35601"/>
  <c r="Z64" i="35601"/>
  <c r="Z104" i="35601"/>
  <c r="Z144" i="35601"/>
  <c r="Z185" i="35601"/>
  <c r="Z225" i="35601"/>
  <c r="Z265" i="35601"/>
  <c r="Z305" i="35601"/>
  <c r="Z345" i="35601"/>
  <c r="Z365" i="35601"/>
  <c r="Z34" i="35601"/>
  <c r="Z54" i="35601"/>
  <c r="Z74" i="35601"/>
  <c r="Z94" i="35601"/>
  <c r="Z114" i="35601"/>
  <c r="Z134" i="35601"/>
  <c r="Z154" i="35601"/>
  <c r="Z175" i="35601"/>
  <c r="Z195" i="35601"/>
  <c r="Z215" i="35601"/>
  <c r="Z235" i="35601"/>
  <c r="Z255" i="35601"/>
  <c r="Z275" i="35601"/>
  <c r="Z295" i="35601"/>
  <c r="Z315" i="35601"/>
  <c r="Z335" i="35601"/>
  <c r="Z355" i="35601"/>
  <c r="Z375" i="35601"/>
  <c r="E27" i="35571"/>
  <c r="E30" i="35571" s="1"/>
  <c r="E31" i="35571" s="1"/>
  <c r="H27" i="35571"/>
  <c r="H30" i="35571" s="1"/>
  <c r="H31" i="35571" s="1"/>
  <c r="L27" i="35571"/>
  <c r="L30" i="35571" s="1"/>
  <c r="L31" i="35571" s="1"/>
  <c r="P27" i="35571"/>
  <c r="P30" i="35571" s="1"/>
  <c r="P31" i="35571" s="1"/>
  <c r="K27" i="35571"/>
  <c r="K30" i="35571" s="1"/>
  <c r="K31" i="35571" s="1"/>
  <c r="O27" i="35571"/>
  <c r="O30" i="35571" s="1"/>
  <c r="O31" i="35571" s="1"/>
  <c r="I27" i="35571"/>
  <c r="I30" i="35571" s="1"/>
  <c r="I31" i="35571" s="1"/>
  <c r="F27" i="35571"/>
  <c r="F30" i="35571" s="1"/>
  <c r="F31" i="35571" s="1"/>
  <c r="J27" i="35571"/>
  <c r="J30" i="35571" s="1"/>
  <c r="J31" i="35571" s="1"/>
  <c r="N27" i="35571"/>
  <c r="N30" i="35571" s="1"/>
  <c r="N31" i="35571" s="1"/>
  <c r="G27" i="35571"/>
  <c r="G30" i="35571" s="1"/>
  <c r="G31" i="35571" s="1"/>
  <c r="M27" i="35571"/>
  <c r="M30" i="35571" s="1"/>
  <c r="M31" i="35571" s="1"/>
  <c r="Z19" i="35601"/>
  <c r="Z29" i="35601"/>
  <c r="Z39" i="35601"/>
  <c r="Z49" i="35601"/>
  <c r="Z59" i="35601"/>
  <c r="Z69" i="35601"/>
  <c r="Z79" i="35601"/>
  <c r="Z89" i="35601"/>
  <c r="Z99" i="35601"/>
  <c r="Z109" i="35601"/>
  <c r="Z119" i="35601"/>
  <c r="Z129" i="35601"/>
  <c r="Z139" i="35601"/>
  <c r="Z149" i="35601"/>
  <c r="Z159" i="35601"/>
  <c r="Z170" i="35601"/>
  <c r="Z180" i="35601"/>
  <c r="Z190" i="35601"/>
  <c r="Z200" i="35601"/>
  <c r="Z210" i="35601"/>
  <c r="Z220" i="35601"/>
  <c r="Z230" i="35601"/>
  <c r="Z240" i="35601"/>
  <c r="Z250" i="35601"/>
  <c r="Z260" i="35601"/>
  <c r="Z270" i="35601"/>
  <c r="Z280" i="35601"/>
  <c r="Z290" i="35601"/>
  <c r="Z300" i="35601"/>
  <c r="Z310" i="35601"/>
  <c r="Z320" i="35601"/>
  <c r="Z330" i="35601"/>
  <c r="Z340" i="35601"/>
  <c r="Z350" i="35601"/>
  <c r="Z360" i="35601"/>
  <c r="Z370" i="35601"/>
  <c r="E90" i="35600"/>
  <c r="E94" i="35600"/>
  <c r="E98" i="35600"/>
  <c r="E102" i="35600"/>
  <c r="E106" i="35600"/>
  <c r="E110" i="35600"/>
  <c r="E114" i="35600"/>
  <c r="E118" i="35600"/>
  <c r="E122" i="35600"/>
  <c r="E126" i="35600"/>
  <c r="E130" i="35600"/>
  <c r="E134" i="35600"/>
  <c r="E138" i="35600"/>
  <c r="E142" i="35600"/>
  <c r="E146" i="35600"/>
  <c r="E150" i="35600"/>
  <c r="E154" i="35600"/>
  <c r="E158" i="35600"/>
  <c r="E162" i="35600"/>
  <c r="E163" i="35600"/>
  <c r="E92" i="35600"/>
  <c r="E96" i="35600"/>
  <c r="E100" i="35600"/>
  <c r="E104" i="35600"/>
  <c r="E108" i="35600"/>
  <c r="E112" i="35600"/>
  <c r="E116" i="35600"/>
  <c r="E120" i="35600"/>
  <c r="E124" i="35600"/>
  <c r="E128" i="35600"/>
  <c r="E132" i="35600"/>
  <c r="E136" i="35600"/>
  <c r="E140" i="35600"/>
  <c r="E144" i="35600"/>
  <c r="E148" i="35600"/>
  <c r="E152" i="35600"/>
  <c r="E156" i="35600"/>
  <c r="E160" i="35600"/>
  <c r="E164" i="35600"/>
  <c r="E165" i="35600"/>
  <c r="E166" i="35600"/>
  <c r="E167" i="35600"/>
  <c r="E168" i="35600"/>
  <c r="E169" i="35600"/>
  <c r="E170" i="35600"/>
  <c r="E171" i="35600"/>
  <c r="E172" i="35600"/>
  <c r="E173" i="35600"/>
  <c r="E174" i="35600"/>
  <c r="E175" i="35600"/>
  <c r="E176" i="35600"/>
  <c r="E177" i="35600"/>
  <c r="E178" i="35600"/>
  <c r="E179" i="35600"/>
  <c r="E180" i="35600"/>
  <c r="E181" i="35600"/>
  <c r="E182" i="35600"/>
  <c r="E183" i="35600"/>
  <c r="E184" i="35600"/>
  <c r="E185" i="35600"/>
  <c r="E186" i="35600"/>
  <c r="E187" i="35600"/>
  <c r="E188" i="35600"/>
  <c r="E189" i="35600"/>
  <c r="E190" i="35600"/>
  <c r="E191" i="35600"/>
  <c r="E192" i="35600"/>
  <c r="E193" i="35600"/>
  <c r="E194" i="35600"/>
  <c r="E195" i="35600"/>
  <c r="E196" i="35600"/>
  <c r="E197" i="35600"/>
  <c r="E198" i="35600"/>
  <c r="E199" i="35600"/>
  <c r="E200" i="35600"/>
  <c r="E201" i="35600"/>
  <c r="E202" i="35600"/>
  <c r="E203" i="35600"/>
  <c r="E204" i="35600"/>
  <c r="E205" i="35600"/>
  <c r="E206" i="35600"/>
  <c r="E207" i="35600"/>
  <c r="E208" i="35600"/>
  <c r="E209" i="35600"/>
  <c r="E210" i="35600"/>
  <c r="E211" i="35600"/>
  <c r="E212" i="35600"/>
  <c r="E213" i="35600"/>
  <c r="E214" i="35600"/>
  <c r="O64" i="35569" l="1"/>
  <c r="I64" i="35569"/>
  <c r="AA64" i="35569"/>
  <c r="U64" i="35569"/>
  <c r="S64" i="35569"/>
  <c r="AB86" i="35569"/>
  <c r="C14" i="35574" s="1"/>
  <c r="AB85" i="35569"/>
  <c r="M102" i="35569" s="1"/>
  <c r="E64" i="35569"/>
  <c r="EN93" i="35569"/>
  <c r="G64" i="35569"/>
  <c r="I45" i="35581"/>
  <c r="H45" i="35581" s="1"/>
  <c r="G45" i="35581" s="1"/>
  <c r="F45" i="35581" s="1"/>
  <c r="N16" i="35581"/>
  <c r="N19" i="35581"/>
  <c r="E92" i="35569"/>
  <c r="C14" i="35581" s="1"/>
  <c r="I107" i="35581"/>
  <c r="I112" i="35581" s="1"/>
  <c r="H72" i="35581" s="1"/>
  <c r="I72" i="35581" s="1"/>
  <c r="L72" i="35581" s="1"/>
  <c r="P45" i="35571"/>
  <c r="AF91" i="35569"/>
  <c r="E91" i="35569" s="1"/>
  <c r="R31" i="35571"/>
  <c r="N17" i="35581"/>
  <c r="M18" i="35581"/>
  <c r="CU94" i="35569"/>
  <c r="EN92" i="35569"/>
  <c r="G65" i="35569" s="1"/>
  <c r="EN91" i="35569"/>
  <c r="E79" i="35569"/>
  <c r="C29" i="35574"/>
  <c r="N19" i="35600"/>
  <c r="F26" i="35572"/>
  <c r="B26" i="35572"/>
  <c r="N104" i="35569"/>
  <c r="E25" i="35601" s="1"/>
  <c r="F26" i="35601"/>
  <c r="ET93" i="35569"/>
  <c r="ET92" i="35569"/>
  <c r="M65" i="35569" s="1"/>
  <c r="ET91" i="35569"/>
  <c r="EX93" i="35569"/>
  <c r="EX92" i="35569"/>
  <c r="Q65" i="35569" s="1"/>
  <c r="EX91" i="35569"/>
  <c r="FB93" i="35569"/>
  <c r="FB92" i="35569"/>
  <c r="U65" i="35569" s="1"/>
  <c r="FB91" i="35569"/>
  <c r="FF93" i="35569"/>
  <c r="FF92" i="35569"/>
  <c r="Y65" i="35569" s="1"/>
  <c r="FF91" i="35569"/>
  <c r="I102" i="35569"/>
  <c r="O17" i="35600"/>
  <c r="ER91" i="35569"/>
  <c r="ER92" i="35569"/>
  <c r="ER93" i="35569"/>
  <c r="AB66" i="35569"/>
  <c r="BR94" i="35569"/>
  <c r="EL93" i="35569"/>
  <c r="EL91" i="35569"/>
  <c r="EL92" i="35569"/>
  <c r="EP91" i="35569"/>
  <c r="EP93" i="35569"/>
  <c r="EP92" i="35569"/>
  <c r="I65" i="35569" s="1"/>
  <c r="O18" i="35600"/>
  <c r="Q103" i="35569"/>
  <c r="E26" i="35572" s="1"/>
  <c r="CQ35" i="35569" s="1"/>
  <c r="DG35" i="35569" s="1"/>
  <c r="EV92" i="35569"/>
  <c r="O65" i="35569" s="1"/>
  <c r="EV91" i="35569"/>
  <c r="EV93" i="35569"/>
  <c r="EZ93" i="35569"/>
  <c r="EZ91" i="35569"/>
  <c r="EZ92" i="35569"/>
  <c r="S65" i="35569" s="1"/>
  <c r="FD93" i="35569"/>
  <c r="FD92" i="35569"/>
  <c r="W65" i="35569" s="1"/>
  <c r="FD91" i="35569"/>
  <c r="FH91" i="35569"/>
  <c r="FH92" i="35569"/>
  <c r="AA65" i="35569" s="1"/>
  <c r="FH93" i="35569"/>
  <c r="BR93" i="35569"/>
  <c r="K33" i="35571"/>
  <c r="K35" i="35571"/>
  <c r="E420" i="35600"/>
  <c r="E53" i="35600"/>
  <c r="BR76" i="35569" l="1"/>
  <c r="FJ91" i="35569"/>
  <c r="M103" i="35569" s="1"/>
  <c r="K65" i="35569"/>
  <c r="FJ92" i="35569"/>
  <c r="I103" i="35569" s="1"/>
  <c r="Q102" i="35569"/>
  <c r="C15" i="35574"/>
  <c r="O16" i="35600"/>
  <c r="CS33" i="35569"/>
  <c r="DH33" i="35569" s="1"/>
  <c r="D390" i="35600" s="1"/>
  <c r="CS44" i="35569"/>
  <c r="DH44" i="35569" s="1"/>
  <c r="DU44" i="35569" s="1"/>
  <c r="CS60" i="35569"/>
  <c r="DH60" i="35569" s="1"/>
  <c r="D417" i="35600" s="1"/>
  <c r="CS35" i="35569"/>
  <c r="DH35" i="35569" s="1"/>
  <c r="DU35" i="35569" s="1"/>
  <c r="CS59" i="35569"/>
  <c r="DH59" i="35569" s="1"/>
  <c r="DU59" i="35569" s="1"/>
  <c r="CS57" i="35569"/>
  <c r="DH57" i="35569" s="1"/>
  <c r="DU57" i="35569" s="1"/>
  <c r="CO50" i="35569"/>
  <c r="DF50" i="35569" s="1"/>
  <c r="D346" i="35600" s="1"/>
  <c r="CS32" i="35569"/>
  <c r="DH32" i="35569" s="1"/>
  <c r="D389" i="35600" s="1"/>
  <c r="CS48" i="35569"/>
  <c r="DH48" i="35569" s="1"/>
  <c r="D405" i="35600" s="1"/>
  <c r="CS46" i="35569"/>
  <c r="DH46" i="35569" s="1"/>
  <c r="D403" i="35600" s="1"/>
  <c r="CO39" i="35569"/>
  <c r="DF39" i="35569" s="1"/>
  <c r="DS39" i="35569" s="1"/>
  <c r="CQ46" i="35569"/>
  <c r="DG46" i="35569" s="1"/>
  <c r="D373" i="35600" s="1"/>
  <c r="CQ60" i="35569"/>
  <c r="DG60" i="35569" s="1"/>
  <c r="DT60" i="35569" s="1"/>
  <c r="CQ48" i="35569"/>
  <c r="DG48" i="35569" s="1"/>
  <c r="DT48" i="35569" s="1"/>
  <c r="CQ44" i="35569"/>
  <c r="DG44" i="35569" s="1"/>
  <c r="D371" i="35600" s="1"/>
  <c r="CQ34" i="35569"/>
  <c r="DG34" i="35569" s="1"/>
  <c r="CQ32" i="35569"/>
  <c r="DG32" i="35569" s="1"/>
  <c r="CO35" i="35569"/>
  <c r="DF35" i="35569" s="1"/>
  <c r="DS35" i="35569" s="1"/>
  <c r="CK57" i="35569"/>
  <c r="DD57" i="35569" s="1"/>
  <c r="DQ57" i="35569" s="1"/>
  <c r="CO36" i="35569"/>
  <c r="DF36" i="35569" s="1"/>
  <c r="DS36" i="35569" s="1"/>
  <c r="CM50" i="35569"/>
  <c r="DE50" i="35569" s="1"/>
  <c r="DR50" i="35569" s="1"/>
  <c r="CM35" i="35569"/>
  <c r="DE35" i="35569" s="1"/>
  <c r="DR35" i="35569" s="1"/>
  <c r="CO56" i="35569"/>
  <c r="DF56" i="35569" s="1"/>
  <c r="DS56" i="35569" s="1"/>
  <c r="CO33" i="35569"/>
  <c r="DF33" i="35569" s="1"/>
  <c r="DS33" i="35569" s="1"/>
  <c r="CO42" i="35569"/>
  <c r="DF42" i="35569" s="1"/>
  <c r="D338" i="35600" s="1"/>
  <c r="CO55" i="35569"/>
  <c r="DF55" i="35569" s="1"/>
  <c r="D351" i="35600" s="1"/>
  <c r="CO41" i="35569"/>
  <c r="DF41" i="35569" s="1"/>
  <c r="D337" i="35600" s="1"/>
  <c r="CO61" i="35569"/>
  <c r="DF61" i="35569" s="1"/>
  <c r="D357" i="35600" s="1"/>
  <c r="CO54" i="35569"/>
  <c r="DF54" i="35569" s="1"/>
  <c r="DS54" i="35569" s="1"/>
  <c r="CO40" i="35569"/>
  <c r="DF40" i="35569" s="1"/>
  <c r="D336" i="35600" s="1"/>
  <c r="CO53" i="35569"/>
  <c r="DF53" i="35569" s="1"/>
  <c r="D349" i="35600" s="1"/>
  <c r="CO38" i="35569"/>
  <c r="DF38" i="35569" s="1"/>
  <c r="DS38" i="35569" s="1"/>
  <c r="CO52" i="35569"/>
  <c r="DF52" i="35569" s="1"/>
  <c r="D348" i="35600" s="1"/>
  <c r="CO58" i="35569"/>
  <c r="DF58" i="35569" s="1"/>
  <c r="D354" i="35600" s="1"/>
  <c r="CO51" i="35569"/>
  <c r="DF51" i="35569" s="1"/>
  <c r="D347" i="35600" s="1"/>
  <c r="CO62" i="35569"/>
  <c r="DF62" i="35569" s="1"/>
  <c r="DS62" i="35569" s="1"/>
  <c r="CM41" i="35569"/>
  <c r="DE41" i="35569" s="1"/>
  <c r="DR41" i="35569" s="1"/>
  <c r="CK61" i="35569"/>
  <c r="DD61" i="35569" s="1"/>
  <c r="D296" i="35600" s="1"/>
  <c r="CM39" i="35569"/>
  <c r="DE39" i="35569" s="1"/>
  <c r="D305" i="35600" s="1"/>
  <c r="CM58" i="35569"/>
  <c r="DE58" i="35569" s="1"/>
  <c r="D324" i="35600" s="1"/>
  <c r="CM60" i="35569"/>
  <c r="DE60" i="35569" s="1"/>
  <c r="D326" i="35600" s="1"/>
  <c r="CI43" i="35569"/>
  <c r="DC43" i="35569" s="1"/>
  <c r="DP43" i="35569" s="1"/>
  <c r="CM37" i="35569"/>
  <c r="DE37" i="35569" s="1"/>
  <c r="D303" i="35600" s="1"/>
  <c r="CM56" i="35569"/>
  <c r="DE56" i="35569" s="1"/>
  <c r="DR56" i="35569" s="1"/>
  <c r="CK37" i="35569"/>
  <c r="DD37" i="35569" s="1"/>
  <c r="DQ37" i="35569" s="1"/>
  <c r="CM33" i="35569"/>
  <c r="DE33" i="35569" s="1"/>
  <c r="DR33" i="35569" s="1"/>
  <c r="CM54" i="35569"/>
  <c r="DE54" i="35569" s="1"/>
  <c r="D320" i="35600" s="1"/>
  <c r="CK49" i="35569"/>
  <c r="DD49" i="35569" s="1"/>
  <c r="D284" i="35600" s="1"/>
  <c r="CK34" i="35569"/>
  <c r="DD34" i="35569" s="1"/>
  <c r="DQ34" i="35569" s="1"/>
  <c r="CK47" i="35569"/>
  <c r="DD47" i="35569" s="1"/>
  <c r="D282" i="35600" s="1"/>
  <c r="CK45" i="35569"/>
  <c r="DD45" i="35569" s="1"/>
  <c r="D280" i="35600" s="1"/>
  <c r="CK59" i="35569"/>
  <c r="DD59" i="35569" s="1"/>
  <c r="DQ59" i="35569" s="1"/>
  <c r="CK43" i="35569"/>
  <c r="DD43" i="35569" s="1"/>
  <c r="D278" i="35600" s="1"/>
  <c r="CK36" i="35569"/>
  <c r="DD36" i="35569" s="1"/>
  <c r="DQ36" i="35569" s="1"/>
  <c r="CI32" i="35569"/>
  <c r="DC32" i="35569" s="1"/>
  <c r="CI61" i="35569"/>
  <c r="DC61" i="35569" s="1"/>
  <c r="DP61" i="35569" s="1"/>
  <c r="CI45" i="35569"/>
  <c r="DC45" i="35569" s="1"/>
  <c r="D249" i="35600" s="1"/>
  <c r="CI49" i="35569"/>
  <c r="DC49" i="35569" s="1"/>
  <c r="D253" i="35600" s="1"/>
  <c r="CI47" i="35569"/>
  <c r="DC47" i="35569" s="1"/>
  <c r="D251" i="35600" s="1"/>
  <c r="CG40" i="35569"/>
  <c r="DB40" i="35569" s="1"/>
  <c r="D214" i="35600" s="1"/>
  <c r="CG56" i="35569"/>
  <c r="DB56" i="35569" s="1"/>
  <c r="DO56" i="35569" s="1"/>
  <c r="CG35" i="35569"/>
  <c r="DB35" i="35569" s="1"/>
  <c r="DO35" i="35569" s="1"/>
  <c r="CG52" i="35569"/>
  <c r="DB52" i="35569" s="1"/>
  <c r="D226" i="35600" s="1"/>
  <c r="CC60" i="35569"/>
  <c r="CZ60" i="35569" s="1"/>
  <c r="D173" i="35600" s="1"/>
  <c r="CC32" i="35569"/>
  <c r="CZ32" i="35569" s="1"/>
  <c r="BY43" i="35569"/>
  <c r="CX43" i="35569" s="1"/>
  <c r="DK43" i="35569" s="1"/>
  <c r="CG53" i="35569"/>
  <c r="DB53" i="35569" s="1"/>
  <c r="D227" i="35600" s="1"/>
  <c r="CG34" i="35569"/>
  <c r="DB34" i="35569" s="1"/>
  <c r="DO34" i="35569" s="1"/>
  <c r="BY40" i="35569"/>
  <c r="CX40" i="35569" s="1"/>
  <c r="DK40" i="35569" s="1"/>
  <c r="CC48" i="35569"/>
  <c r="CZ48" i="35569" s="1"/>
  <c r="DM48" i="35569" s="1"/>
  <c r="CG51" i="35569"/>
  <c r="DB51" i="35569" s="1"/>
  <c r="D225" i="35600" s="1"/>
  <c r="CG50" i="35569"/>
  <c r="DB50" i="35569" s="1"/>
  <c r="D224" i="35600" s="1"/>
  <c r="CG37" i="35569"/>
  <c r="DB37" i="35569" s="1"/>
  <c r="D211" i="35600" s="1"/>
  <c r="CG55" i="35569"/>
  <c r="DB55" i="35569" s="1"/>
  <c r="D229" i="35600" s="1"/>
  <c r="CG42" i="35569"/>
  <c r="DB42" i="35569" s="1"/>
  <c r="D216" i="35600" s="1"/>
  <c r="CG58" i="35569"/>
  <c r="DB58" i="35569" s="1"/>
  <c r="D232" i="35600" s="1"/>
  <c r="CG54" i="35569"/>
  <c r="DB54" i="35569" s="1"/>
  <c r="DO54" i="35569" s="1"/>
  <c r="CG41" i="35569"/>
  <c r="DB41" i="35569" s="1"/>
  <c r="DO41" i="35569" s="1"/>
  <c r="CA46" i="35569"/>
  <c r="CY46" i="35569" s="1"/>
  <c r="D128" i="35600" s="1"/>
  <c r="CE59" i="35569"/>
  <c r="DA59" i="35569" s="1"/>
  <c r="D202" i="35600" s="1"/>
  <c r="BY54" i="35569"/>
  <c r="CX54" i="35569" s="1"/>
  <c r="DK54" i="35569" s="1"/>
  <c r="BY51" i="35569"/>
  <c r="CX51" i="35569" s="1"/>
  <c r="D105" i="35600" s="1"/>
  <c r="CC38" i="35569"/>
  <c r="CZ38" i="35569" s="1"/>
  <c r="D151" i="35600" s="1"/>
  <c r="BW39" i="35569"/>
  <c r="CW39" i="35569" s="1"/>
  <c r="DJ39" i="35569" s="1"/>
  <c r="CE35" i="35569"/>
  <c r="DA35" i="35569" s="1"/>
  <c r="DN35" i="35569" s="1"/>
  <c r="CE36" i="35569"/>
  <c r="DA36" i="35569" s="1"/>
  <c r="D179" i="35600" s="1"/>
  <c r="CC46" i="35569"/>
  <c r="CZ46" i="35569" s="1"/>
  <c r="D159" i="35600" s="1"/>
  <c r="BY42" i="35569"/>
  <c r="CX42" i="35569" s="1"/>
  <c r="D96" i="35600" s="1"/>
  <c r="CE38" i="35569"/>
  <c r="DA38" i="35569" s="1"/>
  <c r="DN38" i="35569" s="1"/>
  <c r="CE57" i="35569"/>
  <c r="DA57" i="35569" s="1"/>
  <c r="DN57" i="35569" s="1"/>
  <c r="BY50" i="35569"/>
  <c r="CX50" i="35569" s="1"/>
  <c r="DK50" i="35569" s="1"/>
  <c r="BY39" i="35569"/>
  <c r="CX39" i="35569" s="1"/>
  <c r="DK39" i="35569" s="1"/>
  <c r="CE34" i="35569"/>
  <c r="DA34" i="35569" s="1"/>
  <c r="D177" i="35600" s="1"/>
  <c r="CE55" i="35569"/>
  <c r="DA55" i="35569" s="1"/>
  <c r="D198" i="35600" s="1"/>
  <c r="CC44" i="35569"/>
  <c r="CZ44" i="35569" s="1"/>
  <c r="D157" i="35600" s="1"/>
  <c r="CC57" i="35569"/>
  <c r="CZ57" i="35569" s="1"/>
  <c r="DM57" i="35569" s="1"/>
  <c r="CC34" i="35569"/>
  <c r="CZ34" i="35569" s="1"/>
  <c r="D147" i="35600" s="1"/>
  <c r="BY56" i="35569"/>
  <c r="CX56" i="35569" s="1"/>
  <c r="D110" i="35600" s="1"/>
  <c r="CA44" i="35569"/>
  <c r="CY44" i="35569" s="1"/>
  <c r="D126" i="35600" s="1"/>
  <c r="CC35" i="35569"/>
  <c r="CZ35" i="35569" s="1"/>
  <c r="DM35" i="35569" s="1"/>
  <c r="CA37" i="35569"/>
  <c r="CY37" i="35569" s="1"/>
  <c r="DL37" i="35569" s="1"/>
  <c r="BY53" i="35569"/>
  <c r="CX53" i="35569" s="1"/>
  <c r="D107" i="35600" s="1"/>
  <c r="BY55" i="35569"/>
  <c r="CX55" i="35569" s="1"/>
  <c r="D109" i="35600" s="1"/>
  <c r="BY33" i="35569"/>
  <c r="CX33" i="35569" s="1"/>
  <c r="DK33" i="35569" s="1"/>
  <c r="CE53" i="35569"/>
  <c r="DA53" i="35569" s="1"/>
  <c r="D196" i="35600" s="1"/>
  <c r="CA48" i="35569"/>
  <c r="CY48" i="35569" s="1"/>
  <c r="D130" i="35600" s="1"/>
  <c r="BY52" i="35569"/>
  <c r="CX52" i="35569" s="1"/>
  <c r="DK52" i="35569" s="1"/>
  <c r="BY41" i="35569"/>
  <c r="CX41" i="35569" s="1"/>
  <c r="D95" i="35600" s="1"/>
  <c r="BW44" i="35569"/>
  <c r="CW44" i="35569" s="1"/>
  <c r="DJ44" i="35569" s="1"/>
  <c r="BW35" i="35569"/>
  <c r="CW35" i="35569" s="1"/>
  <c r="DJ35" i="35569" s="1"/>
  <c r="BW58" i="35569"/>
  <c r="CW58" i="35569" s="1"/>
  <c r="D81" i="35600" s="1"/>
  <c r="BW36" i="35569"/>
  <c r="CW36" i="35569" s="1"/>
  <c r="D59" i="35600" s="1"/>
  <c r="BW56" i="35569"/>
  <c r="CW56" i="35569" s="1"/>
  <c r="DJ56" i="35569" s="1"/>
  <c r="BW60" i="35569"/>
  <c r="CW60" i="35569" s="1"/>
  <c r="D83" i="35600" s="1"/>
  <c r="BW32" i="35569"/>
  <c r="CW32" i="35569" s="1"/>
  <c r="E25" i="35572"/>
  <c r="CE33" i="35569"/>
  <c r="DA33" i="35569" s="1"/>
  <c r="DN33" i="35569" s="1"/>
  <c r="CK62" i="35569"/>
  <c r="DD62" i="35569" s="1"/>
  <c r="DQ62" i="35569" s="1"/>
  <c r="CO60" i="35569"/>
  <c r="DF60" i="35569" s="1"/>
  <c r="CM61" i="35569"/>
  <c r="DE61" i="35569" s="1"/>
  <c r="D327" i="35600" s="1"/>
  <c r="CA60" i="35569"/>
  <c r="CY60" i="35569" s="1"/>
  <c r="BW59" i="35569"/>
  <c r="CW59" i="35569" s="1"/>
  <c r="D82" i="35600" s="1"/>
  <c r="CE58" i="35569"/>
  <c r="DA58" i="35569" s="1"/>
  <c r="D201" i="35600" s="1"/>
  <c r="CM57" i="35569"/>
  <c r="DE57" i="35569" s="1"/>
  <c r="D323" i="35600" s="1"/>
  <c r="BW57" i="35569"/>
  <c r="CW57" i="35569" s="1"/>
  <c r="D80" i="35600" s="1"/>
  <c r="CE56" i="35569"/>
  <c r="DA56" i="35569" s="1"/>
  <c r="D199" i="35600" s="1"/>
  <c r="CM55" i="35569"/>
  <c r="DE55" i="35569" s="1"/>
  <c r="BW55" i="35569"/>
  <c r="CW55" i="35569" s="1"/>
  <c r="D78" i="35600" s="1"/>
  <c r="BW54" i="35569"/>
  <c r="CW54" i="35569" s="1"/>
  <c r="BW52" i="35569"/>
  <c r="CW52" i="35569" s="1"/>
  <c r="CM48" i="35569"/>
  <c r="DE48" i="35569" s="1"/>
  <c r="DR48" i="35569" s="1"/>
  <c r="CG45" i="35569"/>
  <c r="DB45" i="35569" s="1"/>
  <c r="D219" i="35600" s="1"/>
  <c r="CA38" i="35569"/>
  <c r="CY38" i="35569" s="1"/>
  <c r="DL38" i="35569" s="1"/>
  <c r="CE54" i="35569"/>
  <c r="DA54" i="35569" s="1"/>
  <c r="DN54" i="35569" s="1"/>
  <c r="CM53" i="35569"/>
  <c r="DE53" i="35569" s="1"/>
  <c r="DR53" i="35569" s="1"/>
  <c r="CM52" i="35569"/>
  <c r="DE52" i="35569" s="1"/>
  <c r="DR52" i="35569" s="1"/>
  <c r="CE51" i="35569"/>
  <c r="DA51" i="35569" s="1"/>
  <c r="DN51" i="35569" s="1"/>
  <c r="BW50" i="35569"/>
  <c r="CW50" i="35569" s="1"/>
  <c r="DJ50" i="35569" s="1"/>
  <c r="CM46" i="35569"/>
  <c r="DE46" i="35569" s="1"/>
  <c r="DR46" i="35569" s="1"/>
  <c r="BY48" i="35569"/>
  <c r="CX48" i="35569" s="1"/>
  <c r="DK48" i="35569" s="1"/>
  <c r="BW43" i="35569"/>
  <c r="CW43" i="35569" s="1"/>
  <c r="D66" i="35600" s="1"/>
  <c r="CE40" i="35569"/>
  <c r="DA40" i="35569" s="1"/>
  <c r="DN40" i="35569" s="1"/>
  <c r="CK32" i="35569"/>
  <c r="DD32" i="35569" s="1"/>
  <c r="BW53" i="35569"/>
  <c r="CW53" i="35569" s="1"/>
  <c r="DJ53" i="35569" s="1"/>
  <c r="CE52" i="35569"/>
  <c r="DA52" i="35569" s="1"/>
  <c r="CM51" i="35569"/>
  <c r="DE51" i="35569" s="1"/>
  <c r="D317" i="35600" s="1"/>
  <c r="BW51" i="35569"/>
  <c r="CW51" i="35569" s="1"/>
  <c r="D74" i="35600" s="1"/>
  <c r="CE50" i="35569"/>
  <c r="DA50" i="35569" s="1"/>
  <c r="DN50" i="35569" s="1"/>
  <c r="CE49" i="35569"/>
  <c r="DA49" i="35569" s="1"/>
  <c r="D192" i="35600" s="1"/>
  <c r="BW48" i="35569"/>
  <c r="CW48" i="35569" s="1"/>
  <c r="D71" i="35600" s="1"/>
  <c r="CE45" i="35569"/>
  <c r="DA45" i="35569" s="1"/>
  <c r="CG49" i="35569"/>
  <c r="DB49" i="35569" s="1"/>
  <c r="CO46" i="35569"/>
  <c r="DF46" i="35569" s="1"/>
  <c r="DS46" i="35569" s="1"/>
  <c r="BY44" i="35569"/>
  <c r="CX44" i="35569" s="1"/>
  <c r="D98" i="35600" s="1"/>
  <c r="CE42" i="35569"/>
  <c r="DA42" i="35569" s="1"/>
  <c r="D185" i="35600" s="1"/>
  <c r="BW41" i="35569"/>
  <c r="CW41" i="35569" s="1"/>
  <c r="DJ41" i="35569" s="1"/>
  <c r="CI39" i="35569"/>
  <c r="DC39" i="35569" s="1"/>
  <c r="D243" i="35600" s="1"/>
  <c r="CA34" i="35569"/>
  <c r="CY34" i="35569" s="1"/>
  <c r="D116" i="35600" s="1"/>
  <c r="CS37" i="35569"/>
  <c r="DH37" i="35569" s="1"/>
  <c r="DU37" i="35569" s="1"/>
  <c r="CE47" i="35569"/>
  <c r="DA47" i="35569" s="1"/>
  <c r="DN47" i="35569" s="1"/>
  <c r="BW46" i="35569"/>
  <c r="CW46" i="35569" s="1"/>
  <c r="D69" i="35600" s="1"/>
  <c r="CM44" i="35569"/>
  <c r="DE44" i="35569" s="1"/>
  <c r="DR44" i="35569" s="1"/>
  <c r="CE43" i="35569"/>
  <c r="DA43" i="35569" s="1"/>
  <c r="D186" i="35600" s="1"/>
  <c r="CO48" i="35569"/>
  <c r="DF48" i="35569" s="1"/>
  <c r="DS48" i="35569" s="1"/>
  <c r="CG47" i="35569"/>
  <c r="DB47" i="35569" s="1"/>
  <c r="D221" i="35600" s="1"/>
  <c r="BY46" i="35569"/>
  <c r="CX46" i="35569" s="1"/>
  <c r="DK46" i="35569" s="1"/>
  <c r="CO44" i="35569"/>
  <c r="DF44" i="35569" s="1"/>
  <c r="CG43" i="35569"/>
  <c r="DB43" i="35569" s="1"/>
  <c r="D217" i="35600" s="1"/>
  <c r="CM42" i="35569"/>
  <c r="DE42" i="35569" s="1"/>
  <c r="BW42" i="35569"/>
  <c r="CW42" i="35569" s="1"/>
  <c r="DJ42" i="35569" s="1"/>
  <c r="CE41" i="35569"/>
  <c r="DA41" i="35569" s="1"/>
  <c r="D184" i="35600" s="1"/>
  <c r="CM40" i="35569"/>
  <c r="DE40" i="35569" s="1"/>
  <c r="DR40" i="35569" s="1"/>
  <c r="BW40" i="35569"/>
  <c r="CW40" i="35569" s="1"/>
  <c r="DJ40" i="35569" s="1"/>
  <c r="CQ38" i="35569"/>
  <c r="DG38" i="35569" s="1"/>
  <c r="DT38" i="35569" s="1"/>
  <c r="CI37" i="35569"/>
  <c r="DC37" i="35569" s="1"/>
  <c r="DP37" i="35569" s="1"/>
  <c r="CK33" i="35569"/>
  <c r="DD33" i="35569" s="1"/>
  <c r="DQ33" i="35569" s="1"/>
  <c r="CC39" i="35569"/>
  <c r="CZ39" i="35569" s="1"/>
  <c r="CQ36" i="35569"/>
  <c r="CA36" i="35569"/>
  <c r="CY36" i="35569" s="1"/>
  <c r="DL36" i="35569" s="1"/>
  <c r="C19" i="35581"/>
  <c r="M19" i="35581" s="1"/>
  <c r="I110" i="35581"/>
  <c r="C71" i="35581"/>
  <c r="CI34" i="35569"/>
  <c r="DC34" i="35569" s="1"/>
  <c r="CA33" i="35569"/>
  <c r="CY33" i="35569" s="1"/>
  <c r="CO32" i="35569"/>
  <c r="DF32" i="35569" s="1"/>
  <c r="CG38" i="35569"/>
  <c r="DB38" i="35569" s="1"/>
  <c r="DO38" i="35569" s="1"/>
  <c r="CG36" i="35569"/>
  <c r="DB36" i="35569" s="1"/>
  <c r="D210" i="35600" s="1"/>
  <c r="BY35" i="35569"/>
  <c r="CX35" i="35569" s="1"/>
  <c r="DK35" i="35569" s="1"/>
  <c r="BW33" i="35569"/>
  <c r="CS38" i="35569"/>
  <c r="DH38" i="35569" s="1"/>
  <c r="D395" i="35600" s="1"/>
  <c r="CM36" i="35569"/>
  <c r="DE36" i="35569" s="1"/>
  <c r="D302" i="35600" s="1"/>
  <c r="CI62" i="35569"/>
  <c r="DC62" i="35569" s="1"/>
  <c r="D266" i="35600" s="1"/>
  <c r="CI35" i="35569"/>
  <c r="DC35" i="35569" s="1"/>
  <c r="DP35" i="35569" s="1"/>
  <c r="CA35" i="35569"/>
  <c r="CY35" i="35569" s="1"/>
  <c r="DL35" i="35569" s="1"/>
  <c r="CM34" i="35569"/>
  <c r="DE34" i="35569" s="1"/>
  <c r="D300" i="35600" s="1"/>
  <c r="CI33" i="35569"/>
  <c r="DC33" i="35569" s="1"/>
  <c r="D237" i="35600" s="1"/>
  <c r="CA32" i="35569"/>
  <c r="CG61" i="35569"/>
  <c r="DB61" i="35569" s="1"/>
  <c r="D235" i="35600" s="1"/>
  <c r="CK60" i="35569"/>
  <c r="DD60" i="35569" s="1"/>
  <c r="DQ60" i="35569" s="1"/>
  <c r="CQ61" i="35569"/>
  <c r="DG61" i="35569" s="1"/>
  <c r="DT61" i="35569" s="1"/>
  <c r="CA61" i="35569"/>
  <c r="CY61" i="35569" s="1"/>
  <c r="CE60" i="35569"/>
  <c r="DA60" i="35569" s="1"/>
  <c r="D203" i="35600" s="1"/>
  <c r="CO59" i="35569"/>
  <c r="DF59" i="35569" s="1"/>
  <c r="D355" i="35600" s="1"/>
  <c r="CS58" i="35569"/>
  <c r="DH58" i="35569" s="1"/>
  <c r="DU58" i="35569" s="1"/>
  <c r="CK58" i="35569"/>
  <c r="DD58" i="35569" s="1"/>
  <c r="DQ58" i="35569" s="1"/>
  <c r="CC58" i="35569"/>
  <c r="CZ58" i="35569" s="1"/>
  <c r="D171" i="35600" s="1"/>
  <c r="CO57" i="35569"/>
  <c r="DF57" i="35569" s="1"/>
  <c r="D353" i="35600" s="1"/>
  <c r="CG57" i="35569"/>
  <c r="DB57" i="35569" s="1"/>
  <c r="D231" i="35600" s="1"/>
  <c r="CS56" i="35569"/>
  <c r="DH56" i="35569" s="1"/>
  <c r="D413" i="35600" s="1"/>
  <c r="CK56" i="35569"/>
  <c r="DD56" i="35569" s="1"/>
  <c r="D291" i="35600" s="1"/>
  <c r="CC56" i="35569"/>
  <c r="CZ56" i="35569" s="1"/>
  <c r="D169" i="35600" s="1"/>
  <c r="CS55" i="35569"/>
  <c r="DH55" i="35569" s="1"/>
  <c r="DU55" i="35569" s="1"/>
  <c r="CK55" i="35569"/>
  <c r="DD55" i="35569" s="1"/>
  <c r="D290" i="35600" s="1"/>
  <c r="CC55" i="35569"/>
  <c r="CZ55" i="35569" s="1"/>
  <c r="DM55" i="35569" s="1"/>
  <c r="CS54" i="35569"/>
  <c r="DH54" i="35569" s="1"/>
  <c r="DU54" i="35569" s="1"/>
  <c r="CK54" i="35569"/>
  <c r="DD54" i="35569" s="1"/>
  <c r="D289" i="35600" s="1"/>
  <c r="CC54" i="35569"/>
  <c r="CZ54" i="35569" s="1"/>
  <c r="CS53" i="35569"/>
  <c r="DH53" i="35569" s="1"/>
  <c r="D410" i="35600" s="1"/>
  <c r="CK53" i="35569"/>
  <c r="DD53" i="35569" s="1"/>
  <c r="D288" i="35600" s="1"/>
  <c r="CC53" i="35569"/>
  <c r="CZ53" i="35569" s="1"/>
  <c r="DM53" i="35569" s="1"/>
  <c r="CS52" i="35569"/>
  <c r="DH52" i="35569" s="1"/>
  <c r="DU52" i="35569" s="1"/>
  <c r="CK52" i="35569"/>
  <c r="DD52" i="35569" s="1"/>
  <c r="CC52" i="35569"/>
  <c r="CZ52" i="35569" s="1"/>
  <c r="D165" i="35600" s="1"/>
  <c r="CS51" i="35569"/>
  <c r="DH51" i="35569" s="1"/>
  <c r="D408" i="35600" s="1"/>
  <c r="CK51" i="35569"/>
  <c r="DD51" i="35569" s="1"/>
  <c r="D286" i="35600" s="1"/>
  <c r="CC51" i="35569"/>
  <c r="CZ51" i="35569" s="1"/>
  <c r="D164" i="35600" s="1"/>
  <c r="CS50" i="35569"/>
  <c r="DH50" i="35569" s="1"/>
  <c r="D407" i="35600" s="1"/>
  <c r="CK50" i="35569"/>
  <c r="DD50" i="35569" s="1"/>
  <c r="D285" i="35600" s="1"/>
  <c r="BY32" i="35569"/>
  <c r="CX32" i="35569" s="1"/>
  <c r="CO37" i="35569"/>
  <c r="DF37" i="35569" s="1"/>
  <c r="DS37" i="35569" s="1"/>
  <c r="BY36" i="35569"/>
  <c r="CX36" i="35569" s="1"/>
  <c r="DK36" i="35569" s="1"/>
  <c r="CO34" i="35569"/>
  <c r="DF34" i="35569" s="1"/>
  <c r="DS34" i="35569" s="1"/>
  <c r="CE32" i="35569"/>
  <c r="DA32" i="35569" s="1"/>
  <c r="D175" i="35600" s="1"/>
  <c r="CK39" i="35569"/>
  <c r="DD39" i="35569" s="1"/>
  <c r="DQ39" i="35569" s="1"/>
  <c r="BW37" i="35569"/>
  <c r="CW37" i="35569" s="1"/>
  <c r="DJ37" i="35569" s="1"/>
  <c r="CC50" i="35569"/>
  <c r="CZ50" i="35569" s="1"/>
  <c r="D163" i="35600" s="1"/>
  <c r="CQ49" i="35569"/>
  <c r="DG49" i="35569" s="1"/>
  <c r="D376" i="35600" s="1"/>
  <c r="CA49" i="35569"/>
  <c r="CY49" i="35569" s="1"/>
  <c r="DL49" i="35569" s="1"/>
  <c r="CI48" i="35569"/>
  <c r="DC48" i="35569" s="1"/>
  <c r="CQ47" i="35569"/>
  <c r="DG47" i="35569" s="1"/>
  <c r="CA47" i="35569"/>
  <c r="CY47" i="35569" s="1"/>
  <c r="D129" i="35600" s="1"/>
  <c r="CI46" i="35569"/>
  <c r="DC46" i="35569" s="1"/>
  <c r="DP46" i="35569" s="1"/>
  <c r="CQ45" i="35569"/>
  <c r="DG45" i="35569" s="1"/>
  <c r="D372" i="35600" s="1"/>
  <c r="CA45" i="35569"/>
  <c r="CY45" i="35569" s="1"/>
  <c r="D127" i="35600" s="1"/>
  <c r="CI44" i="35569"/>
  <c r="DC44" i="35569" s="1"/>
  <c r="D248" i="35600" s="1"/>
  <c r="CQ43" i="35569"/>
  <c r="DG43" i="35569" s="1"/>
  <c r="D370" i="35600" s="1"/>
  <c r="CS49" i="35569"/>
  <c r="DH49" i="35569" s="1"/>
  <c r="D406" i="35600" s="1"/>
  <c r="CC49" i="35569"/>
  <c r="CZ49" i="35569" s="1"/>
  <c r="DM49" i="35569" s="1"/>
  <c r="CK48" i="35569"/>
  <c r="DD48" i="35569" s="1"/>
  <c r="DQ48" i="35569" s="1"/>
  <c r="CS47" i="35569"/>
  <c r="DH47" i="35569" s="1"/>
  <c r="D404" i="35600" s="1"/>
  <c r="CC47" i="35569"/>
  <c r="CZ47" i="35569" s="1"/>
  <c r="D160" i="35600" s="1"/>
  <c r="CK46" i="35569"/>
  <c r="DD46" i="35569" s="1"/>
  <c r="D281" i="35600" s="1"/>
  <c r="CS45" i="35569"/>
  <c r="DH45" i="35569" s="1"/>
  <c r="D402" i="35600" s="1"/>
  <c r="CC45" i="35569"/>
  <c r="CZ45" i="35569" s="1"/>
  <c r="D158" i="35600" s="1"/>
  <c r="CK44" i="35569"/>
  <c r="DD44" i="35569" s="1"/>
  <c r="D279" i="35600" s="1"/>
  <c r="CS43" i="35569"/>
  <c r="DH43" i="35569" s="1"/>
  <c r="CC43" i="35569"/>
  <c r="CZ43" i="35569" s="1"/>
  <c r="CS42" i="35569"/>
  <c r="DH42" i="35569" s="1"/>
  <c r="D399" i="35600" s="1"/>
  <c r="CK42" i="35569"/>
  <c r="DD42" i="35569" s="1"/>
  <c r="D277" i="35600" s="1"/>
  <c r="CC42" i="35569"/>
  <c r="CZ42" i="35569" s="1"/>
  <c r="D155" i="35600" s="1"/>
  <c r="CS41" i="35569"/>
  <c r="DH41" i="35569" s="1"/>
  <c r="D398" i="35600" s="1"/>
  <c r="CK41" i="35569"/>
  <c r="DD41" i="35569" s="1"/>
  <c r="CC41" i="35569"/>
  <c r="CZ41" i="35569" s="1"/>
  <c r="CS40" i="35569"/>
  <c r="DH40" i="35569" s="1"/>
  <c r="DU40" i="35569" s="1"/>
  <c r="CK40" i="35569"/>
  <c r="DD40" i="35569" s="1"/>
  <c r="D275" i="35600" s="1"/>
  <c r="CC40" i="35569"/>
  <c r="CZ40" i="35569" s="1"/>
  <c r="D153" i="35600" s="1"/>
  <c r="CS39" i="35569"/>
  <c r="DH39" i="35569" s="1"/>
  <c r="D396" i="35600" s="1"/>
  <c r="CE39" i="35569"/>
  <c r="DA39" i="35569" s="1"/>
  <c r="DN39" i="35569" s="1"/>
  <c r="CM38" i="35569"/>
  <c r="DE38" i="35569" s="1"/>
  <c r="D304" i="35600" s="1"/>
  <c r="BW38" i="35569"/>
  <c r="CW38" i="35569" s="1"/>
  <c r="D61" i="35600" s="1"/>
  <c r="CC37" i="35569"/>
  <c r="CZ37" i="35569" s="1"/>
  <c r="D150" i="35600" s="1"/>
  <c r="BW34" i="35569"/>
  <c r="CW34" i="35569" s="1"/>
  <c r="D57" i="35600" s="1"/>
  <c r="CG33" i="35569"/>
  <c r="DB33" i="35569" s="1"/>
  <c r="CG32" i="35569"/>
  <c r="DB32" i="35569" s="1"/>
  <c r="CG39" i="35569"/>
  <c r="DB39" i="35569" s="1"/>
  <c r="DO39" i="35569" s="1"/>
  <c r="BY38" i="35569"/>
  <c r="CX38" i="35569" s="1"/>
  <c r="D92" i="35600" s="1"/>
  <c r="CS36" i="35569"/>
  <c r="DH36" i="35569" s="1"/>
  <c r="DU36" i="35569" s="1"/>
  <c r="CC36" i="35569"/>
  <c r="CZ36" i="35569" s="1"/>
  <c r="CK35" i="35569"/>
  <c r="DD35" i="35569" s="1"/>
  <c r="D270" i="35600" s="1"/>
  <c r="CS34" i="35569"/>
  <c r="DH34" i="35569" s="1"/>
  <c r="BY34" i="35569"/>
  <c r="CX34" i="35569" s="1"/>
  <c r="CM32" i="35569"/>
  <c r="DE32" i="35569" s="1"/>
  <c r="BW62" i="35569"/>
  <c r="CW62" i="35569" s="1"/>
  <c r="D85" i="35600" s="1"/>
  <c r="CS61" i="35569"/>
  <c r="DH61" i="35569" s="1"/>
  <c r="DU61" i="35569" s="1"/>
  <c r="CC61" i="35569"/>
  <c r="CZ61" i="35569" s="1"/>
  <c r="D174" i="35600" s="1"/>
  <c r="CG60" i="35569"/>
  <c r="DB60" i="35569" s="1"/>
  <c r="CA62" i="35569"/>
  <c r="CY62" i="35569" s="1"/>
  <c r="D144" i="35600" s="1"/>
  <c r="CE61" i="35569"/>
  <c r="DA61" i="35569" s="1"/>
  <c r="CI60" i="35569"/>
  <c r="DC60" i="35569" s="1"/>
  <c r="DP60" i="35569" s="1"/>
  <c r="CI59" i="35569"/>
  <c r="DC59" i="35569" s="1"/>
  <c r="D263" i="35600" s="1"/>
  <c r="CA59" i="35569"/>
  <c r="CY59" i="35569" s="1"/>
  <c r="D141" i="35600" s="1"/>
  <c r="CQ58" i="35569"/>
  <c r="DG58" i="35569" s="1"/>
  <c r="D385" i="35600" s="1"/>
  <c r="CI58" i="35569"/>
  <c r="DC58" i="35569" s="1"/>
  <c r="D262" i="35600" s="1"/>
  <c r="CA58" i="35569"/>
  <c r="CY58" i="35569" s="1"/>
  <c r="D140" i="35600" s="1"/>
  <c r="CQ57" i="35569"/>
  <c r="DG57" i="35569" s="1"/>
  <c r="D384" i="35600" s="1"/>
  <c r="CI57" i="35569"/>
  <c r="DC57" i="35569" s="1"/>
  <c r="D261" i="35600" s="1"/>
  <c r="CA57" i="35569"/>
  <c r="CY57" i="35569" s="1"/>
  <c r="CQ56" i="35569"/>
  <c r="DG56" i="35569" s="1"/>
  <c r="D383" i="35600" s="1"/>
  <c r="CI56" i="35569"/>
  <c r="DC56" i="35569" s="1"/>
  <c r="D260" i="35600" s="1"/>
  <c r="CA56" i="35569"/>
  <c r="CY56" i="35569" s="1"/>
  <c r="D138" i="35600" s="1"/>
  <c r="CQ55" i="35569"/>
  <c r="DG55" i="35569" s="1"/>
  <c r="D382" i="35600" s="1"/>
  <c r="CI55" i="35569"/>
  <c r="DC55" i="35569" s="1"/>
  <c r="DP55" i="35569" s="1"/>
  <c r="CA55" i="35569"/>
  <c r="CY55" i="35569" s="1"/>
  <c r="CQ54" i="35569"/>
  <c r="DG54" i="35569" s="1"/>
  <c r="D381" i="35600" s="1"/>
  <c r="CI54" i="35569"/>
  <c r="DC54" i="35569" s="1"/>
  <c r="D258" i="35600" s="1"/>
  <c r="CA54" i="35569"/>
  <c r="CY54" i="35569" s="1"/>
  <c r="D136" i="35600" s="1"/>
  <c r="CQ53" i="35569"/>
  <c r="DG53" i="35569" s="1"/>
  <c r="DT53" i="35569" s="1"/>
  <c r="CI53" i="35569"/>
  <c r="DC53" i="35569" s="1"/>
  <c r="D257" i="35600" s="1"/>
  <c r="CA53" i="35569"/>
  <c r="CY53" i="35569" s="1"/>
  <c r="D135" i="35600" s="1"/>
  <c r="CQ52" i="35569"/>
  <c r="DG52" i="35569" s="1"/>
  <c r="D379" i="35600" s="1"/>
  <c r="CI52" i="35569"/>
  <c r="DC52" i="35569" s="1"/>
  <c r="D256" i="35600" s="1"/>
  <c r="CA52" i="35569"/>
  <c r="CY52" i="35569" s="1"/>
  <c r="DL52" i="35569" s="1"/>
  <c r="CQ51" i="35569"/>
  <c r="DG51" i="35569" s="1"/>
  <c r="CI51" i="35569"/>
  <c r="DC51" i="35569" s="1"/>
  <c r="DP51" i="35569" s="1"/>
  <c r="CA51" i="35569"/>
  <c r="CY51" i="35569" s="1"/>
  <c r="D133" i="35600" s="1"/>
  <c r="CQ50" i="35569"/>
  <c r="DG50" i="35569" s="1"/>
  <c r="D377" i="35600" s="1"/>
  <c r="CI50" i="35569"/>
  <c r="DC50" i="35569" s="1"/>
  <c r="D254" i="35600" s="1"/>
  <c r="CA50" i="35569"/>
  <c r="CY50" i="35569" s="1"/>
  <c r="CM49" i="35569"/>
  <c r="DE49" i="35569" s="1"/>
  <c r="D315" i="35600" s="1"/>
  <c r="BW49" i="35569"/>
  <c r="CW49" i="35569" s="1"/>
  <c r="D72" i="35600" s="1"/>
  <c r="CE48" i="35569"/>
  <c r="DA48" i="35569" s="1"/>
  <c r="D191" i="35600" s="1"/>
  <c r="CM47" i="35569"/>
  <c r="DE47" i="35569" s="1"/>
  <c r="D313" i="35600" s="1"/>
  <c r="BW47" i="35569"/>
  <c r="CW47" i="35569" s="1"/>
  <c r="D70" i="35600" s="1"/>
  <c r="CE46" i="35569"/>
  <c r="DA46" i="35569" s="1"/>
  <c r="D189" i="35600" s="1"/>
  <c r="CM45" i="35569"/>
  <c r="DE45" i="35569" s="1"/>
  <c r="D311" i="35600" s="1"/>
  <c r="BW45" i="35569"/>
  <c r="CW45" i="35569" s="1"/>
  <c r="D68" i="35600" s="1"/>
  <c r="CE44" i="35569"/>
  <c r="DA44" i="35569" s="1"/>
  <c r="D187" i="35600" s="1"/>
  <c r="CM43" i="35569"/>
  <c r="DE43" i="35569" s="1"/>
  <c r="D309" i="35600" s="1"/>
  <c r="CO49" i="35569"/>
  <c r="DF49" i="35569" s="1"/>
  <c r="BY49" i="35569"/>
  <c r="CX49" i="35569" s="1"/>
  <c r="D103" i="35600" s="1"/>
  <c r="CG48" i="35569"/>
  <c r="DB48" i="35569" s="1"/>
  <c r="D222" i="35600" s="1"/>
  <c r="CO47" i="35569"/>
  <c r="DF47" i="35569" s="1"/>
  <c r="DS47" i="35569" s="1"/>
  <c r="BY47" i="35569"/>
  <c r="CX47" i="35569" s="1"/>
  <c r="DK47" i="35569" s="1"/>
  <c r="CG46" i="35569"/>
  <c r="DB46" i="35569" s="1"/>
  <c r="D220" i="35600" s="1"/>
  <c r="CO45" i="35569"/>
  <c r="DF45" i="35569" s="1"/>
  <c r="BY45" i="35569"/>
  <c r="CX45" i="35569" s="1"/>
  <c r="DK45" i="35569" s="1"/>
  <c r="CG44" i="35569"/>
  <c r="DB44" i="35569" s="1"/>
  <c r="DO44" i="35569" s="1"/>
  <c r="CO43" i="35569"/>
  <c r="DF43" i="35569" s="1"/>
  <c r="DS43" i="35569" s="1"/>
  <c r="CA43" i="35569"/>
  <c r="CY43" i="35569" s="1"/>
  <c r="D125" i="35600" s="1"/>
  <c r="CQ42" i="35569"/>
  <c r="DG42" i="35569" s="1"/>
  <c r="DT42" i="35569" s="1"/>
  <c r="CI42" i="35569"/>
  <c r="DC42" i="35569" s="1"/>
  <c r="DP42" i="35569" s="1"/>
  <c r="CA42" i="35569"/>
  <c r="CY42" i="35569" s="1"/>
  <c r="DL42" i="35569" s="1"/>
  <c r="CQ41" i="35569"/>
  <c r="DG41" i="35569" s="1"/>
  <c r="DT41" i="35569" s="1"/>
  <c r="CI41" i="35569"/>
  <c r="DC41" i="35569" s="1"/>
  <c r="D245" i="35600" s="1"/>
  <c r="CA41" i="35569"/>
  <c r="CY41" i="35569" s="1"/>
  <c r="CQ40" i="35569"/>
  <c r="DG40" i="35569" s="1"/>
  <c r="D367" i="35600" s="1"/>
  <c r="CI40" i="35569"/>
  <c r="DC40" i="35569" s="1"/>
  <c r="DP40" i="35569" s="1"/>
  <c r="CA40" i="35569"/>
  <c r="CY40" i="35569" s="1"/>
  <c r="D122" i="35600" s="1"/>
  <c r="CQ39" i="35569"/>
  <c r="DG39" i="35569" s="1"/>
  <c r="DT39" i="35569" s="1"/>
  <c r="CA39" i="35569"/>
  <c r="CY39" i="35569" s="1"/>
  <c r="CI38" i="35569"/>
  <c r="DC38" i="35569" s="1"/>
  <c r="DP38" i="35569" s="1"/>
  <c r="CQ37" i="35569"/>
  <c r="DG37" i="35569" s="1"/>
  <c r="DT37" i="35569" s="1"/>
  <c r="BY37" i="35569"/>
  <c r="CX37" i="35569" s="1"/>
  <c r="DK37" i="35569" s="1"/>
  <c r="CQ33" i="35569"/>
  <c r="DG33" i="35569" s="1"/>
  <c r="D360" i="35600" s="1"/>
  <c r="CC33" i="35569"/>
  <c r="CZ33" i="35569" s="1"/>
  <c r="DM33" i="35569" s="1"/>
  <c r="BW61" i="35569"/>
  <c r="CW61" i="35569" s="1"/>
  <c r="D84" i="35600" s="1"/>
  <c r="CK38" i="35569"/>
  <c r="DD38" i="35569" s="1"/>
  <c r="DQ38" i="35569" s="1"/>
  <c r="CE37" i="35569"/>
  <c r="DA37" i="35569" s="1"/>
  <c r="D180" i="35600" s="1"/>
  <c r="CI36" i="35569"/>
  <c r="DC36" i="35569" s="1"/>
  <c r="DP36" i="35569" s="1"/>
  <c r="CS62" i="35569"/>
  <c r="CE62" i="35569"/>
  <c r="G94" i="35569"/>
  <c r="G95" i="35569"/>
  <c r="G67" i="35569"/>
  <c r="E26" i="35601"/>
  <c r="O19" i="35600"/>
  <c r="CQ59" i="35569"/>
  <c r="DG59" i="35569" s="1"/>
  <c r="D386" i="35600" s="1"/>
  <c r="CC59" i="35569"/>
  <c r="CZ59" i="35569" s="1"/>
  <c r="D172" i="35600" s="1"/>
  <c r="Q104" i="35569"/>
  <c r="CM59" i="35569"/>
  <c r="DE59" i="35569" s="1"/>
  <c r="DR59" i="35569" s="1"/>
  <c r="BY57" i="35569"/>
  <c r="CX57" i="35569" s="1"/>
  <c r="DK57" i="35569" s="1"/>
  <c r="BY58" i="35569"/>
  <c r="CX58" i="35569" s="1"/>
  <c r="BY59" i="35569"/>
  <c r="CX59" i="35569" s="1"/>
  <c r="DK59" i="35569" s="1"/>
  <c r="CG59" i="35569"/>
  <c r="DB59" i="35569" s="1"/>
  <c r="D233" i="35600" s="1"/>
  <c r="D44" i="35574"/>
  <c r="B45" i="35574" s="1"/>
  <c r="O45" i="35574"/>
  <c r="AA67" i="35569"/>
  <c r="AA95" i="35569"/>
  <c r="AA94" i="35569"/>
  <c r="W94" i="35569"/>
  <c r="W67" i="35569"/>
  <c r="W95" i="35569"/>
  <c r="S95" i="35569"/>
  <c r="S67" i="35569"/>
  <c r="S94" i="35569"/>
  <c r="O94" i="35569"/>
  <c r="O67" i="35569"/>
  <c r="O95" i="35569"/>
  <c r="E95" i="35569"/>
  <c r="AB64" i="35569"/>
  <c r="E67" i="35569"/>
  <c r="E94" i="35569"/>
  <c r="K67" i="35569"/>
  <c r="K94" i="35569"/>
  <c r="K95" i="35569"/>
  <c r="E18" i="35572"/>
  <c r="E18" i="35601"/>
  <c r="Y95" i="35569"/>
  <c r="Y67" i="35569"/>
  <c r="Y94" i="35569"/>
  <c r="U67" i="35569"/>
  <c r="U95" i="35569"/>
  <c r="U94" i="35569"/>
  <c r="Q94" i="35569"/>
  <c r="Q95" i="35569"/>
  <c r="Q67" i="35569"/>
  <c r="M67" i="35569"/>
  <c r="M95" i="35569"/>
  <c r="M94" i="35569"/>
  <c r="CG76" i="35569"/>
  <c r="E23" i="35601"/>
  <c r="E23" i="35572"/>
  <c r="I95" i="35569"/>
  <c r="I67" i="35569"/>
  <c r="I94" i="35569"/>
  <c r="E65" i="35569"/>
  <c r="AB65" i="35569" s="1"/>
  <c r="R35" i="35571"/>
  <c r="M37" i="35571"/>
  <c r="P37" i="35571" s="1"/>
  <c r="L20" i="35581" s="1"/>
  <c r="E19" i="35601"/>
  <c r="E19" i="35572"/>
  <c r="CX60" i="35569"/>
  <c r="DT35" i="35569"/>
  <c r="D362" i="35600"/>
  <c r="D292" i="35600" l="1"/>
  <c r="DU33" i="35569"/>
  <c r="C16" i="35574"/>
  <c r="C20" i="35574" s="1"/>
  <c r="C24" i="35574" s="1"/>
  <c r="DS51" i="35569"/>
  <c r="DR37" i="35569"/>
  <c r="D352" i="35600"/>
  <c r="D335" i="35600"/>
  <c r="DS50" i="35569"/>
  <c r="D401" i="35600"/>
  <c r="D120" i="35600"/>
  <c r="I40" i="35571"/>
  <c r="DS61" i="35569"/>
  <c r="DT46" i="35569"/>
  <c r="DU60" i="35569"/>
  <c r="D358" i="35600"/>
  <c r="DS41" i="35569"/>
  <c r="D392" i="35600"/>
  <c r="D375" i="35600"/>
  <c r="D416" i="35600"/>
  <c r="DU48" i="35569"/>
  <c r="D387" i="35600"/>
  <c r="DK42" i="35569"/>
  <c r="D350" i="35600"/>
  <c r="D316" i="35600"/>
  <c r="D272" i="35600"/>
  <c r="DQ49" i="35569"/>
  <c r="DS55" i="35569"/>
  <c r="D97" i="35600"/>
  <c r="DP49" i="35569"/>
  <c r="D247" i="35600"/>
  <c r="DS58" i="35569"/>
  <c r="D414" i="35600"/>
  <c r="DT44" i="35569"/>
  <c r="D331" i="35600"/>
  <c r="DN59" i="35569"/>
  <c r="DU46" i="35569"/>
  <c r="DM46" i="35569"/>
  <c r="DR39" i="35569"/>
  <c r="DL48" i="35569"/>
  <c r="D228" i="35600"/>
  <c r="DQ47" i="35569"/>
  <c r="D307" i="35600"/>
  <c r="DO55" i="35569"/>
  <c r="D119" i="35600"/>
  <c r="D269" i="35600"/>
  <c r="DS42" i="35569"/>
  <c r="DO52" i="35569"/>
  <c r="D334" i="35600"/>
  <c r="DS40" i="35569"/>
  <c r="DS52" i="35569"/>
  <c r="D369" i="35600"/>
  <c r="D178" i="35600"/>
  <c r="DQ43" i="35569"/>
  <c r="D329" i="35600"/>
  <c r="DT50" i="35569"/>
  <c r="DR60" i="35569"/>
  <c r="DR54" i="35569"/>
  <c r="DQ61" i="35569"/>
  <c r="D299" i="35600"/>
  <c r="DS53" i="35569"/>
  <c r="D170" i="35600"/>
  <c r="D265" i="35600"/>
  <c r="D230" i="35600"/>
  <c r="D322" i="35600"/>
  <c r="D93" i="35600"/>
  <c r="DR58" i="35569"/>
  <c r="DP45" i="35569"/>
  <c r="DM44" i="35569"/>
  <c r="D294" i="35600"/>
  <c r="DJ62" i="35569"/>
  <c r="D271" i="35600"/>
  <c r="DQ45" i="35569"/>
  <c r="D161" i="35600"/>
  <c r="DL46" i="35569"/>
  <c r="D415" i="35600"/>
  <c r="D63" i="35600"/>
  <c r="D215" i="35600"/>
  <c r="DK53" i="35569"/>
  <c r="DO58" i="35569"/>
  <c r="D94" i="35600"/>
  <c r="DJ43" i="35569"/>
  <c r="DK38" i="35569"/>
  <c r="D182" i="35600"/>
  <c r="DN55" i="35569"/>
  <c r="DO53" i="35569"/>
  <c r="D208" i="35600"/>
  <c r="DN34" i="35569"/>
  <c r="DO40" i="35569"/>
  <c r="DN36" i="35569"/>
  <c r="DO47" i="35569"/>
  <c r="DN56" i="35569"/>
  <c r="DP47" i="35569"/>
  <c r="D67" i="35600"/>
  <c r="D89" i="35600"/>
  <c r="DO42" i="35569"/>
  <c r="D104" i="35600"/>
  <c r="DK51" i="35569"/>
  <c r="DM60" i="35569"/>
  <c r="DO51" i="35569"/>
  <c r="D200" i="35600"/>
  <c r="DO37" i="35569"/>
  <c r="DM34" i="35569"/>
  <c r="D108" i="35600"/>
  <c r="D87" i="35600"/>
  <c r="D76" i="35600"/>
  <c r="D181" i="35600"/>
  <c r="DJ36" i="35569"/>
  <c r="DO50" i="35569"/>
  <c r="DK55" i="35569"/>
  <c r="DN53" i="35569"/>
  <c r="DJ58" i="35569"/>
  <c r="DQ56" i="35569"/>
  <c r="D148" i="35600"/>
  <c r="DL44" i="35569"/>
  <c r="DL54" i="35569"/>
  <c r="D100" i="35600"/>
  <c r="DT33" i="35569"/>
  <c r="D250" i="35600"/>
  <c r="DN41" i="35569"/>
  <c r="D62" i="35600"/>
  <c r="DK56" i="35569"/>
  <c r="DM38" i="35569"/>
  <c r="D106" i="35600"/>
  <c r="DU53" i="35569"/>
  <c r="DR45" i="35569"/>
  <c r="DQ55" i="35569"/>
  <c r="D411" i="35600"/>
  <c r="DL53" i="35569"/>
  <c r="DU45" i="35569"/>
  <c r="D183" i="35600"/>
  <c r="D197" i="35600"/>
  <c r="D297" i="35600"/>
  <c r="D273" i="35600"/>
  <c r="D58" i="35600"/>
  <c r="DJ48" i="35569"/>
  <c r="D176" i="35600"/>
  <c r="DL56" i="35569"/>
  <c r="DM50" i="35569"/>
  <c r="DN49" i="35569"/>
  <c r="DK41" i="35569"/>
  <c r="DL40" i="35569"/>
  <c r="DP58" i="35569"/>
  <c r="D274" i="35600"/>
  <c r="DJ55" i="35569"/>
  <c r="D368" i="35600"/>
  <c r="D418" i="35600"/>
  <c r="D166" i="35600"/>
  <c r="DR57" i="35569"/>
  <c r="D343" i="35600"/>
  <c r="DP53" i="35569"/>
  <c r="DQ46" i="35569"/>
  <c r="DQ50" i="35569"/>
  <c r="DP33" i="35569"/>
  <c r="DJ61" i="35569"/>
  <c r="DP39" i="35569"/>
  <c r="D325" i="35600"/>
  <c r="DN46" i="35569"/>
  <c r="D131" i="35600"/>
  <c r="DT58" i="35569"/>
  <c r="DM42" i="35569"/>
  <c r="D246" i="35600"/>
  <c r="DL51" i="35569"/>
  <c r="D60" i="35600"/>
  <c r="D412" i="35600"/>
  <c r="DM58" i="35569"/>
  <c r="D102" i="35600"/>
  <c r="D259" i="35600"/>
  <c r="DM45" i="35569"/>
  <c r="DP62" i="35569"/>
  <c r="DL58" i="35569"/>
  <c r="D394" i="35600"/>
  <c r="D124" i="35600"/>
  <c r="DN37" i="35569"/>
  <c r="DO61" i="35569"/>
  <c r="DQ54" i="35569"/>
  <c r="D79" i="35600"/>
  <c r="DO45" i="35569"/>
  <c r="DM56" i="35569"/>
  <c r="D193" i="35600"/>
  <c r="DJ60" i="35569"/>
  <c r="DO36" i="35569"/>
  <c r="D91" i="35600"/>
  <c r="DT45" i="35569"/>
  <c r="DL43" i="35569"/>
  <c r="D380" i="35600"/>
  <c r="DU39" i="35569"/>
  <c r="D244" i="35600"/>
  <c r="D64" i="35600"/>
  <c r="DQ53" i="35569"/>
  <c r="DU32" i="35569"/>
  <c r="D255" i="35600"/>
  <c r="DP59" i="35569"/>
  <c r="DN42" i="35569"/>
  <c r="DN60" i="35569"/>
  <c r="D117" i="35600"/>
  <c r="CO88" i="35569"/>
  <c r="D339" i="35600"/>
  <c r="D314" i="35600"/>
  <c r="DR51" i="35569"/>
  <c r="DT40" i="35569"/>
  <c r="DR47" i="35569"/>
  <c r="DT56" i="35569"/>
  <c r="D264" i="35600"/>
  <c r="DU42" i="35569"/>
  <c r="DL34" i="35569"/>
  <c r="DN43" i="35569"/>
  <c r="D388" i="35600"/>
  <c r="DU47" i="35569"/>
  <c r="DJ51" i="35569"/>
  <c r="DP41" i="35569"/>
  <c r="D101" i="35600"/>
  <c r="DK44" i="35569"/>
  <c r="D111" i="35600"/>
  <c r="DU38" i="35569"/>
  <c r="D312" i="35600"/>
  <c r="DK49" i="35569"/>
  <c r="DM40" i="35569"/>
  <c r="DM51" i="35569"/>
  <c r="D118" i="35600"/>
  <c r="DN58" i="35569"/>
  <c r="D212" i="35600"/>
  <c r="DT55" i="35569"/>
  <c r="D393" i="35600"/>
  <c r="DT49" i="35569"/>
  <c r="D168" i="35600"/>
  <c r="DM59" i="35569"/>
  <c r="DM36" i="35569"/>
  <c r="D149" i="35600"/>
  <c r="DL41" i="35569"/>
  <c r="D123" i="35600"/>
  <c r="D345" i="35600"/>
  <c r="DS49" i="35569"/>
  <c r="D378" i="35600"/>
  <c r="DT51" i="35569"/>
  <c r="D139" i="35600"/>
  <c r="DL57" i="35569"/>
  <c r="DK34" i="35569"/>
  <c r="D88" i="35600"/>
  <c r="DM54" i="35569"/>
  <c r="D167" i="35600"/>
  <c r="D143" i="35600"/>
  <c r="DL61" i="35569"/>
  <c r="DQ51" i="35569"/>
  <c r="D204" i="35600"/>
  <c r="DN61" i="35569"/>
  <c r="D400" i="35600"/>
  <c r="DU43" i="35569"/>
  <c r="D374" i="35600"/>
  <c r="DT47" i="35569"/>
  <c r="DM39" i="35569"/>
  <c r="D152" i="35600"/>
  <c r="DR42" i="35569"/>
  <c r="D308" i="35600"/>
  <c r="DN52" i="35569"/>
  <c r="D195" i="35600"/>
  <c r="D142" i="35600"/>
  <c r="DL60" i="35569"/>
  <c r="D283" i="35600"/>
  <c r="DN32" i="35569"/>
  <c r="D341" i="35600"/>
  <c r="DS45" i="35569"/>
  <c r="DL55" i="35569"/>
  <c r="D137" i="35600"/>
  <c r="DP34" i="35569"/>
  <c r="D238" i="35600"/>
  <c r="DO49" i="35569"/>
  <c r="D223" i="35600"/>
  <c r="DR43" i="35569"/>
  <c r="D330" i="35600"/>
  <c r="DU51" i="35569"/>
  <c r="DU56" i="35569"/>
  <c r="DK58" i="35569"/>
  <c r="D112" i="35600"/>
  <c r="D121" i="35600"/>
  <c r="DL39" i="35569"/>
  <c r="D276" i="35600"/>
  <c r="DQ41" i="35569"/>
  <c r="D340" i="35600"/>
  <c r="DS44" i="35569"/>
  <c r="D321" i="35600"/>
  <c r="DR55" i="35569"/>
  <c r="DQ40" i="35569"/>
  <c r="D162" i="35600"/>
  <c r="D241" i="35600"/>
  <c r="D113" i="35600"/>
  <c r="DO46" i="35569"/>
  <c r="DJ45" i="35569"/>
  <c r="DJ49" i="35569"/>
  <c r="DP52" i="35569"/>
  <c r="DP54" i="35569"/>
  <c r="DQ35" i="35569"/>
  <c r="DJ38" i="35569"/>
  <c r="DT43" i="35569"/>
  <c r="D333" i="35600"/>
  <c r="D342" i="35600"/>
  <c r="D310" i="35600"/>
  <c r="D194" i="35600"/>
  <c r="DO59" i="35569"/>
  <c r="BW76" i="35569"/>
  <c r="BW78" i="35569" s="1"/>
  <c r="CS76" i="35569"/>
  <c r="CS78" i="35569" s="1"/>
  <c r="D207" i="35600"/>
  <c r="DO33" i="35569"/>
  <c r="D156" i="35600"/>
  <c r="DM43" i="35569"/>
  <c r="DG36" i="35569"/>
  <c r="CQ89" i="35569"/>
  <c r="D75" i="35600"/>
  <c r="DJ52" i="35569"/>
  <c r="DL47" i="35569"/>
  <c r="DU34" i="35569"/>
  <c r="D391" i="35600"/>
  <c r="DL33" i="35569"/>
  <c r="D115" i="35600"/>
  <c r="D77" i="35600"/>
  <c r="DJ54" i="35569"/>
  <c r="D364" i="35600"/>
  <c r="D218" i="35600"/>
  <c r="D65" i="35600"/>
  <c r="DJ59" i="35569"/>
  <c r="DM41" i="35569"/>
  <c r="D154" i="35600"/>
  <c r="D252" i="35600"/>
  <c r="DP48" i="35569"/>
  <c r="DN48" i="35569"/>
  <c r="DJ34" i="35569"/>
  <c r="D132" i="35600"/>
  <c r="DL50" i="35569"/>
  <c r="D234" i="35600"/>
  <c r="DO60" i="35569"/>
  <c r="D287" i="35600"/>
  <c r="DQ52" i="35569"/>
  <c r="DN45" i="35569"/>
  <c r="D188" i="35600"/>
  <c r="D356" i="35600"/>
  <c r="DS60" i="35569"/>
  <c r="D99" i="35600"/>
  <c r="D134" i="35600"/>
  <c r="D319" i="35600"/>
  <c r="DT52" i="35569"/>
  <c r="DP57" i="35569"/>
  <c r="DT59" i="35569"/>
  <c r="D397" i="35600"/>
  <c r="DJ46" i="35569"/>
  <c r="D73" i="35600"/>
  <c r="DO57" i="35569"/>
  <c r="DT54" i="35569"/>
  <c r="D239" i="35600"/>
  <c r="D365" i="35600"/>
  <c r="M69" i="35569"/>
  <c r="DP44" i="35569"/>
  <c r="DL45" i="35569"/>
  <c r="DJ57" i="35569"/>
  <c r="D366" i="35600"/>
  <c r="DP50" i="35569"/>
  <c r="DU41" i="35569"/>
  <c r="D409" i="35600"/>
  <c r="DJ47" i="35569"/>
  <c r="DL59" i="35569"/>
  <c r="D213" i="35600"/>
  <c r="CG89" i="35569"/>
  <c r="CG92" i="35569" s="1"/>
  <c r="DM47" i="35569"/>
  <c r="DU49" i="35569"/>
  <c r="DU50" i="35569"/>
  <c r="DM52" i="35569"/>
  <c r="D301" i="35600"/>
  <c r="DR61" i="35569"/>
  <c r="DS57" i="35569"/>
  <c r="DR34" i="35569"/>
  <c r="DR36" i="35569"/>
  <c r="CO89" i="35569"/>
  <c r="CO76" i="35569"/>
  <c r="CO78" i="35569" s="1"/>
  <c r="D240" i="35600"/>
  <c r="DQ42" i="35569"/>
  <c r="BY89" i="35569"/>
  <c r="BY91" i="35569" s="1"/>
  <c r="D306" i="35600"/>
  <c r="D344" i="35600"/>
  <c r="D190" i="35600"/>
  <c r="D318" i="35600"/>
  <c r="DS59" i="35569"/>
  <c r="D295" i="35600"/>
  <c r="CA89" i="35569"/>
  <c r="CA91" i="35569" s="1"/>
  <c r="CC76" i="35569"/>
  <c r="CC78" i="35569" s="1"/>
  <c r="CE76" i="35569"/>
  <c r="CE78" i="35569" s="1"/>
  <c r="D146" i="35600"/>
  <c r="D242" i="35600"/>
  <c r="DR49" i="35569"/>
  <c r="DO48" i="35569"/>
  <c r="DN44" i="35569"/>
  <c r="DP56" i="35569"/>
  <c r="DT57" i="35569"/>
  <c r="DL62" i="35569"/>
  <c r="DM37" i="35569"/>
  <c r="DQ44" i="35569"/>
  <c r="D90" i="35600"/>
  <c r="CC89" i="35569"/>
  <c r="CC91" i="35569" s="1"/>
  <c r="D268" i="35600"/>
  <c r="DO43" i="35569"/>
  <c r="CG88" i="35569"/>
  <c r="D209" i="35600"/>
  <c r="I69" i="35569"/>
  <c r="BW89" i="35569"/>
  <c r="DM61" i="35569"/>
  <c r="DR38" i="35569"/>
  <c r="D293" i="35600"/>
  <c r="CK88" i="35569"/>
  <c r="CA88" i="35569"/>
  <c r="CS88" i="35569"/>
  <c r="CI89" i="35569"/>
  <c r="CI92" i="35569" s="1"/>
  <c r="CY32" i="35569"/>
  <c r="CA76" i="35569"/>
  <c r="CI88" i="35569"/>
  <c r="CK89" i="35569"/>
  <c r="CK92" i="35569" s="1"/>
  <c r="CW33" i="35569"/>
  <c r="CI76" i="35569"/>
  <c r="CI78" i="35569" s="1"/>
  <c r="BW88" i="35569"/>
  <c r="D332" i="35600"/>
  <c r="BY76" i="35569"/>
  <c r="BY78" i="35569" s="1"/>
  <c r="CK76" i="35569"/>
  <c r="CK78" i="35569" s="1"/>
  <c r="CQ76" i="35569"/>
  <c r="CQ78" i="35569" s="1"/>
  <c r="CM76" i="35569"/>
  <c r="CM78" i="35569" s="1"/>
  <c r="CM89" i="35569"/>
  <c r="CM91" i="35569" s="1"/>
  <c r="E69" i="35569"/>
  <c r="W69" i="35569"/>
  <c r="S69" i="35569"/>
  <c r="Q69" i="35569"/>
  <c r="U69" i="35569"/>
  <c r="Y69" i="35569"/>
  <c r="O69" i="35569"/>
  <c r="G69" i="35569"/>
  <c r="AA69" i="35569"/>
  <c r="K69" i="35569"/>
  <c r="CM88" i="35569"/>
  <c r="CC88" i="35569"/>
  <c r="BY88" i="35569"/>
  <c r="CQ88" i="35569"/>
  <c r="DH62" i="35569"/>
  <c r="CS89" i="35569"/>
  <c r="DA62" i="35569"/>
  <c r="CE88" i="35569"/>
  <c r="CE89" i="35569"/>
  <c r="CE95" i="35569" s="1"/>
  <c r="E21" i="35572"/>
  <c r="E21" i="35601"/>
  <c r="AB67" i="35569"/>
  <c r="AB96" i="35569"/>
  <c r="AB98" i="35569" s="1"/>
  <c r="H71" i="35581" s="1"/>
  <c r="I71" i="35581" s="1"/>
  <c r="L71" i="35581" s="1"/>
  <c r="CG78" i="35569"/>
  <c r="E22" i="35572"/>
  <c r="E22" i="35601"/>
  <c r="E29" i="35601"/>
  <c r="E30" i="35601" s="1"/>
  <c r="E29" i="35572"/>
  <c r="AB71" i="35569"/>
  <c r="AB72" i="35569" s="1"/>
  <c r="H19" i="35581" s="1"/>
  <c r="E90" i="35569"/>
  <c r="C15" i="35581" s="1"/>
  <c r="N15" i="35581" s="1"/>
  <c r="AB94" i="35569"/>
  <c r="E20" i="35601"/>
  <c r="E20" i="35572"/>
  <c r="H20" i="35581"/>
  <c r="D298" i="35600"/>
  <c r="DR32" i="35569"/>
  <c r="D206" i="35600"/>
  <c r="DO32" i="35569"/>
  <c r="DK32" i="35569"/>
  <c r="D86" i="35600"/>
  <c r="D359" i="35600"/>
  <c r="DT32" i="35569"/>
  <c r="D236" i="35600"/>
  <c r="DP32" i="35569"/>
  <c r="D267" i="35600"/>
  <c r="DQ32" i="35569"/>
  <c r="D55" i="35600"/>
  <c r="DJ32" i="35569"/>
  <c r="DS32" i="35569"/>
  <c r="D328" i="35600"/>
  <c r="DM32" i="35569"/>
  <c r="D145" i="35600"/>
  <c r="D361" i="35600"/>
  <c r="DT34" i="35569"/>
  <c r="F26" i="35574" l="1"/>
  <c r="H26" i="35574" s="1"/>
  <c r="B27" i="35574"/>
  <c r="BW95" i="35569"/>
  <c r="F376" i="35600"/>
  <c r="G376" i="35600" s="1"/>
  <c r="J376" i="35600" s="1"/>
  <c r="F177" i="35600"/>
  <c r="M177" i="35600" s="1"/>
  <c r="L177" i="35600" s="1"/>
  <c r="F173" i="35600"/>
  <c r="K173" i="35600" s="1"/>
  <c r="CC92" i="35569"/>
  <c r="F174" i="35600"/>
  <c r="K174" i="35600" s="1"/>
  <c r="F383" i="35600"/>
  <c r="K383" i="35600" s="1"/>
  <c r="BW91" i="35569"/>
  <c r="F244" i="35600"/>
  <c r="G244" i="35600" s="1"/>
  <c r="J244" i="35600" s="1"/>
  <c r="F379" i="35600"/>
  <c r="K379" i="35600" s="1"/>
  <c r="F168" i="35600"/>
  <c r="K168" i="35600" s="1"/>
  <c r="F262" i="35600"/>
  <c r="G262" i="35600" s="1"/>
  <c r="J262" i="35600" s="1"/>
  <c r="F381" i="35600"/>
  <c r="M381" i="35600" s="1"/>
  <c r="L381" i="35600" s="1"/>
  <c r="F407" i="35600"/>
  <c r="G407" i="35600" s="1"/>
  <c r="J407" i="35600" s="1"/>
  <c r="F343" i="35600"/>
  <c r="G343" i="35600" s="1"/>
  <c r="J343" i="35600" s="1"/>
  <c r="F408" i="35600"/>
  <c r="M408" i="35600" s="1"/>
  <c r="L408" i="35600" s="1"/>
  <c r="F176" i="35600"/>
  <c r="G176" i="35600" s="1"/>
  <c r="J176" i="35600" s="1"/>
  <c r="BW92" i="35569"/>
  <c r="F175" i="35600"/>
  <c r="G175" i="35600" s="1"/>
  <c r="J175" i="35600" s="1"/>
  <c r="F178" i="35600"/>
  <c r="M178" i="35600" s="1"/>
  <c r="L178" i="35600" s="1"/>
  <c r="F224" i="35600"/>
  <c r="G224" i="35600" s="1"/>
  <c r="J224" i="35600" s="1"/>
  <c r="F217" i="35600"/>
  <c r="M217" i="35600" s="1"/>
  <c r="L217" i="35600" s="1"/>
  <c r="F127" i="35600"/>
  <c r="M127" i="35600" s="1"/>
  <c r="L127" i="35600" s="1"/>
  <c r="F220" i="35600"/>
  <c r="M220" i="35600" s="1"/>
  <c r="L220" i="35600" s="1"/>
  <c r="F225" i="35600"/>
  <c r="M225" i="35600" s="1"/>
  <c r="L225" i="35600" s="1"/>
  <c r="F265" i="35600"/>
  <c r="G265" i="35600" s="1"/>
  <c r="J265" i="35600" s="1"/>
  <c r="F304" i="35600"/>
  <c r="G304" i="35600" s="1"/>
  <c r="J304" i="35600" s="1"/>
  <c r="F300" i="35600"/>
  <c r="G300" i="35600" s="1"/>
  <c r="J300" i="35600" s="1"/>
  <c r="CO95" i="35569"/>
  <c r="F256" i="35600"/>
  <c r="M256" i="35600" s="1"/>
  <c r="L256" i="35600" s="1"/>
  <c r="F87" i="35600"/>
  <c r="M87" i="35600" s="1"/>
  <c r="L87" i="35600" s="1"/>
  <c r="CQ95" i="35569"/>
  <c r="F126" i="35600"/>
  <c r="M126" i="35600" s="1"/>
  <c r="L126" i="35600" s="1"/>
  <c r="F151" i="35600"/>
  <c r="M151" i="35600" s="1"/>
  <c r="L151" i="35600" s="1"/>
  <c r="F170" i="35600"/>
  <c r="K170" i="35600" s="1"/>
  <c r="F334" i="35600"/>
  <c r="M334" i="35600" s="1"/>
  <c r="L334" i="35600" s="1"/>
  <c r="F392" i="35600"/>
  <c r="M392" i="35600" s="1"/>
  <c r="L392" i="35600" s="1"/>
  <c r="F398" i="35600"/>
  <c r="K398" i="35600" s="1"/>
  <c r="F332" i="35600"/>
  <c r="K332" i="35600" s="1"/>
  <c r="F390" i="35600"/>
  <c r="M390" i="35600" s="1"/>
  <c r="L390" i="35600" s="1"/>
  <c r="F391" i="35600"/>
  <c r="K391" i="35600" s="1"/>
  <c r="F223" i="35600"/>
  <c r="F81" i="35600"/>
  <c r="M81" i="35600" s="1"/>
  <c r="L81" i="35600" s="1"/>
  <c r="F406" i="35600"/>
  <c r="M406" i="35600" s="1"/>
  <c r="L406" i="35600" s="1"/>
  <c r="F182" i="35600"/>
  <c r="G182" i="35600" s="1"/>
  <c r="J182" i="35600" s="1"/>
  <c r="F134" i="35600"/>
  <c r="G134" i="35600" s="1"/>
  <c r="J134" i="35600" s="1"/>
  <c r="F149" i="35600"/>
  <c r="K149" i="35600" s="1"/>
  <c r="F402" i="35600"/>
  <c r="G402" i="35600" s="1"/>
  <c r="J402" i="35600" s="1"/>
  <c r="F279" i="35600"/>
  <c r="M279" i="35600" s="1"/>
  <c r="L279" i="35600" s="1"/>
  <c r="F184" i="35600"/>
  <c r="F101" i="35600"/>
  <c r="F330" i="35600"/>
  <c r="G330" i="35600" s="1"/>
  <c r="J330" i="35600" s="1"/>
  <c r="F229" i="35600"/>
  <c r="K229" i="35600" s="1"/>
  <c r="BY92" i="35569"/>
  <c r="F227" i="35600"/>
  <c r="G227" i="35600" s="1"/>
  <c r="J227" i="35600" s="1"/>
  <c r="CM92" i="35569"/>
  <c r="F400" i="35600"/>
  <c r="G400" i="35600" s="1"/>
  <c r="J400" i="35600" s="1"/>
  <c r="F403" i="35600"/>
  <c r="F345" i="35600"/>
  <c r="M345" i="35600" s="1"/>
  <c r="L345" i="35600" s="1"/>
  <c r="F393" i="35600"/>
  <c r="M393" i="35600" s="1"/>
  <c r="L393" i="35600" s="1"/>
  <c r="CS95" i="35569"/>
  <c r="F218" i="35600"/>
  <c r="M218" i="35600" s="1"/>
  <c r="L218" i="35600" s="1"/>
  <c r="F222" i="35600"/>
  <c r="K222" i="35600" s="1"/>
  <c r="F394" i="35600"/>
  <c r="G394" i="35600" s="1"/>
  <c r="J394" i="35600" s="1"/>
  <c r="F165" i="35600"/>
  <c r="K165" i="35600" s="1"/>
  <c r="CA78" i="35569"/>
  <c r="CU78" i="35569" s="1"/>
  <c r="CU97" i="35569" s="1"/>
  <c r="CA95" i="35569"/>
  <c r="F328" i="35600"/>
  <c r="G328" i="35600" s="1"/>
  <c r="J328" i="35600" s="1"/>
  <c r="F323" i="35600"/>
  <c r="F310" i="35600"/>
  <c r="K310" i="35600" s="1"/>
  <c r="F278" i="35600"/>
  <c r="M278" i="35600" s="1"/>
  <c r="L278" i="35600" s="1"/>
  <c r="F161" i="35600"/>
  <c r="F164" i="35600"/>
  <c r="G164" i="35600" s="1"/>
  <c r="J164" i="35600" s="1"/>
  <c r="F159" i="35600"/>
  <c r="F162" i="35600"/>
  <c r="K162" i="35600" s="1"/>
  <c r="F160" i="35600"/>
  <c r="D363" i="35600"/>
  <c r="F362" i="35600" s="1"/>
  <c r="DT36" i="35569"/>
  <c r="F291" i="35600"/>
  <c r="M291" i="35600" s="1"/>
  <c r="L291" i="35600" s="1"/>
  <c r="F80" i="35600"/>
  <c r="G80" i="35600" s="1"/>
  <c r="J80" i="35600" s="1"/>
  <c r="F234" i="35600"/>
  <c r="M234" i="35600" s="1"/>
  <c r="L234" i="35600" s="1"/>
  <c r="F147" i="35600"/>
  <c r="K147" i="35600" s="1"/>
  <c r="F382" i="35600"/>
  <c r="G382" i="35600" s="1"/>
  <c r="J382" i="35600" s="1"/>
  <c r="F158" i="35600"/>
  <c r="K158" i="35600" s="1"/>
  <c r="F72" i="35600"/>
  <c r="K72" i="35600" s="1"/>
  <c r="F76" i="35600"/>
  <c r="G76" i="35600" s="1"/>
  <c r="J76" i="35600" s="1"/>
  <c r="F95" i="35600"/>
  <c r="M95" i="35600" s="1"/>
  <c r="L95" i="35600" s="1"/>
  <c r="F88" i="35600"/>
  <c r="F89" i="35600"/>
  <c r="K89" i="35600" s="1"/>
  <c r="F94" i="35600"/>
  <c r="M94" i="35600" s="1"/>
  <c r="L94" i="35600" s="1"/>
  <c r="F90" i="35600"/>
  <c r="K90" i="35600" s="1"/>
  <c r="F132" i="35600"/>
  <c r="F71" i="35600"/>
  <c r="G71" i="35600" s="1"/>
  <c r="J71" i="35600" s="1"/>
  <c r="F68" i="35600"/>
  <c r="G68" i="35600" s="1"/>
  <c r="J68" i="35600" s="1"/>
  <c r="F98" i="35600"/>
  <c r="M98" i="35600" s="1"/>
  <c r="L98" i="35600" s="1"/>
  <c r="F133" i="35600"/>
  <c r="F92" i="35600"/>
  <c r="G92" i="35600" s="1"/>
  <c r="J92" i="35600" s="1"/>
  <c r="F67" i="35600"/>
  <c r="K67" i="35600" s="1"/>
  <c r="F78" i="35600"/>
  <c r="CQ92" i="35569"/>
  <c r="F194" i="35600"/>
  <c r="G194" i="35600" s="1"/>
  <c r="J194" i="35600" s="1"/>
  <c r="F317" i="35600"/>
  <c r="M317" i="35600" s="1"/>
  <c r="L317" i="35600" s="1"/>
  <c r="J26" i="35574"/>
  <c r="K26" i="35574" s="1"/>
  <c r="F100" i="35600"/>
  <c r="F99" i="35600"/>
  <c r="G99" i="35600" s="1"/>
  <c r="J99" i="35600" s="1"/>
  <c r="CO92" i="35569"/>
  <c r="CO91" i="35569"/>
  <c r="F254" i="35600"/>
  <c r="F261" i="35600"/>
  <c r="K261" i="35600" s="1"/>
  <c r="F253" i="35600"/>
  <c r="M253" i="35600" s="1"/>
  <c r="L253" i="35600" s="1"/>
  <c r="F255" i="35600"/>
  <c r="F260" i="35600"/>
  <c r="M260" i="35600" s="1"/>
  <c r="L260" i="35600" s="1"/>
  <c r="F257" i="35600"/>
  <c r="G257" i="35600" s="1"/>
  <c r="J257" i="35600" s="1"/>
  <c r="F85" i="35600"/>
  <c r="K85" i="35600" s="1"/>
  <c r="F79" i="35600"/>
  <c r="K79" i="35600" s="1"/>
  <c r="F130" i="35600"/>
  <c r="F128" i="35600"/>
  <c r="F129" i="35600"/>
  <c r="M129" i="35600" s="1"/>
  <c r="L129" i="35600" s="1"/>
  <c r="F281" i="35600"/>
  <c r="F280" i="35600"/>
  <c r="M280" i="35600" s="1"/>
  <c r="L280" i="35600" s="1"/>
  <c r="F282" i="35600"/>
  <c r="M282" i="35600" s="1"/>
  <c r="L282" i="35600" s="1"/>
  <c r="DL32" i="35569"/>
  <c r="D114" i="35600"/>
  <c r="F124" i="35600" s="1"/>
  <c r="K124" i="35600" s="1"/>
  <c r="F251" i="35600"/>
  <c r="M251" i="35600" s="1"/>
  <c r="L251" i="35600" s="1"/>
  <c r="F252" i="35600"/>
  <c r="F180" i="35600"/>
  <c r="K180" i="35600" s="1"/>
  <c r="F187" i="35600"/>
  <c r="K187" i="35600" s="1"/>
  <c r="F181" i="35600"/>
  <c r="G181" i="35600" s="1"/>
  <c r="J181" i="35600" s="1"/>
  <c r="F186" i="35600"/>
  <c r="G186" i="35600" s="1"/>
  <c r="J186" i="35600" s="1"/>
  <c r="F193" i="35600"/>
  <c r="G193" i="35600" s="1"/>
  <c r="J193" i="35600" s="1"/>
  <c r="F191" i="35600"/>
  <c r="G191" i="35600" s="1"/>
  <c r="J191" i="35600" s="1"/>
  <c r="F189" i="35600"/>
  <c r="F185" i="35600"/>
  <c r="K185" i="35600" s="1"/>
  <c r="F190" i="35600"/>
  <c r="M190" i="35600" s="1"/>
  <c r="L190" i="35600" s="1"/>
  <c r="F375" i="35600"/>
  <c r="F374" i="35600"/>
  <c r="F125" i="35600"/>
  <c r="F242" i="35600"/>
  <c r="G242" i="35600" s="1"/>
  <c r="J242" i="35600" s="1"/>
  <c r="F387" i="35600"/>
  <c r="K387" i="35600" s="1"/>
  <c r="F385" i="35600"/>
  <c r="F386" i="35600"/>
  <c r="G386" i="35600" s="1"/>
  <c r="J386" i="35600" s="1"/>
  <c r="F388" i="35600"/>
  <c r="M388" i="35600" s="1"/>
  <c r="L388" i="35600" s="1"/>
  <c r="F315" i="35600"/>
  <c r="F318" i="35600"/>
  <c r="M318" i="35600" s="1"/>
  <c r="L318" i="35600" s="1"/>
  <c r="F157" i="35600"/>
  <c r="K157" i="35600" s="1"/>
  <c r="F314" i="35600"/>
  <c r="M314" i="35600" s="1"/>
  <c r="L314" i="35600" s="1"/>
  <c r="F321" i="35600"/>
  <c r="K321" i="35600" s="1"/>
  <c r="F83" i="35600"/>
  <c r="K83" i="35600" s="1"/>
  <c r="CQ91" i="35569"/>
  <c r="F131" i="35600"/>
  <c r="F319" i="35600"/>
  <c r="K319" i="35600" s="1"/>
  <c r="F74" i="35600"/>
  <c r="K74" i="35600" s="1"/>
  <c r="F163" i="35600"/>
  <c r="F249" i="35600"/>
  <c r="K249" i="35600" s="1"/>
  <c r="F91" i="35600"/>
  <c r="K91" i="35600" s="1"/>
  <c r="F70" i="35600"/>
  <c r="M70" i="35600" s="1"/>
  <c r="L70" i="35600" s="1"/>
  <c r="F316" i="35600"/>
  <c r="G316" i="35600" s="1"/>
  <c r="J316" i="35600" s="1"/>
  <c r="F322" i="35600"/>
  <c r="G322" i="35600" s="1"/>
  <c r="J322" i="35600" s="1"/>
  <c r="F156" i="35600"/>
  <c r="K156" i="35600" s="1"/>
  <c r="F103" i="35600"/>
  <c r="K103" i="35600" s="1"/>
  <c r="F171" i="35600"/>
  <c r="F73" i="35600"/>
  <c r="F378" i="35600"/>
  <c r="F219" i="35600"/>
  <c r="M219" i="35600" s="1"/>
  <c r="L219" i="35600" s="1"/>
  <c r="F169" i="35600"/>
  <c r="F77" i="35600"/>
  <c r="F216" i="35600"/>
  <c r="K216" i="35600" s="1"/>
  <c r="F309" i="35600"/>
  <c r="M309" i="35600" s="1"/>
  <c r="L309" i="35600" s="1"/>
  <c r="F311" i="35600"/>
  <c r="F399" i="35600"/>
  <c r="K399" i="35600" s="1"/>
  <c r="F221" i="35600"/>
  <c r="K221" i="35600" s="1"/>
  <c r="F228" i="35600"/>
  <c r="F97" i="35600"/>
  <c r="M97" i="35600" s="1"/>
  <c r="L97" i="35600" s="1"/>
  <c r="F188" i="35600"/>
  <c r="F179" i="35600"/>
  <c r="G179" i="35600" s="1"/>
  <c r="J179" i="35600" s="1"/>
  <c r="F380" i="35600"/>
  <c r="M380" i="35600" s="1"/>
  <c r="L380" i="35600" s="1"/>
  <c r="CA92" i="35569"/>
  <c r="F404" i="35600"/>
  <c r="F226" i="35600"/>
  <c r="M226" i="35600" s="1"/>
  <c r="L226" i="35600" s="1"/>
  <c r="F183" i="35600"/>
  <c r="K183" i="35600" s="1"/>
  <c r="F308" i="35600"/>
  <c r="M308" i="35600" s="1"/>
  <c r="L308" i="35600" s="1"/>
  <c r="F377" i="35600"/>
  <c r="F395" i="35600"/>
  <c r="CC95" i="35569"/>
  <c r="F288" i="35600"/>
  <c r="F266" i="35600"/>
  <c r="F305" i="35600"/>
  <c r="G305" i="35600" s="1"/>
  <c r="J305" i="35600" s="1"/>
  <c r="F250" i="35600"/>
  <c r="F384" i="35600"/>
  <c r="F166" i="35600"/>
  <c r="G166" i="35600" s="1"/>
  <c r="J166" i="35600" s="1"/>
  <c r="F238" i="35600"/>
  <c r="F313" i="35600"/>
  <c r="K313" i="35600" s="1"/>
  <c r="F320" i="35600"/>
  <c r="G320" i="35600" s="1"/>
  <c r="J320" i="35600" s="1"/>
  <c r="F307" i="35600"/>
  <c r="G307" i="35600" s="1"/>
  <c r="J307" i="35600" s="1"/>
  <c r="F302" i="35600"/>
  <c r="M302" i="35600" s="1"/>
  <c r="L302" i="35600" s="1"/>
  <c r="F102" i="35600"/>
  <c r="CI91" i="35569"/>
  <c r="F389" i="35600"/>
  <c r="F306" i="35600"/>
  <c r="K306" i="35600" s="1"/>
  <c r="F82" i="35600"/>
  <c r="F167" i="35600"/>
  <c r="M167" i="35600" s="1"/>
  <c r="L167" i="35600" s="1"/>
  <c r="F69" i="35600"/>
  <c r="G69" i="35600" s="1"/>
  <c r="J69" i="35600" s="1"/>
  <c r="F75" i="35600"/>
  <c r="G75" i="35600" s="1"/>
  <c r="J75" i="35600" s="1"/>
  <c r="F396" i="35600"/>
  <c r="G396" i="35600" s="1"/>
  <c r="J396" i="35600" s="1"/>
  <c r="F405" i="35600"/>
  <c r="M405" i="35600" s="1"/>
  <c r="L405" i="35600" s="1"/>
  <c r="F312" i="35600"/>
  <c r="F397" i="35600"/>
  <c r="M397" i="35600" s="1"/>
  <c r="L397" i="35600" s="1"/>
  <c r="F172" i="35600"/>
  <c r="F401" i="35600"/>
  <c r="M401" i="35600" s="1"/>
  <c r="L401" i="35600" s="1"/>
  <c r="F192" i="35600"/>
  <c r="G192" i="35600" s="1"/>
  <c r="J192" i="35600" s="1"/>
  <c r="I20" i="35581"/>
  <c r="M20" i="35581"/>
  <c r="F350" i="35600"/>
  <c r="F272" i="35600"/>
  <c r="F264" i="35600"/>
  <c r="F287" i="35600"/>
  <c r="G287" i="35600" s="1"/>
  <c r="J287" i="35600" s="1"/>
  <c r="CG91" i="35569"/>
  <c r="F241" i="35600"/>
  <c r="M241" i="35600" s="1"/>
  <c r="L241" i="35600" s="1"/>
  <c r="F237" i="35600"/>
  <c r="M237" i="35600" s="1"/>
  <c r="L237" i="35600" s="1"/>
  <c r="F294" i="35600"/>
  <c r="G294" i="35600" s="1"/>
  <c r="J294" i="35600" s="1"/>
  <c r="F290" i="35600"/>
  <c r="K290" i="35600" s="1"/>
  <c r="F347" i="35600"/>
  <c r="K347" i="35600" s="1"/>
  <c r="F324" i="35600"/>
  <c r="M324" i="35600" s="1"/>
  <c r="L324" i="35600" s="1"/>
  <c r="CU89" i="35569"/>
  <c r="F341" i="35600"/>
  <c r="G341" i="35600" s="1"/>
  <c r="J341" i="35600" s="1"/>
  <c r="F152" i="35600"/>
  <c r="G152" i="35600" s="1"/>
  <c r="J152" i="35600" s="1"/>
  <c r="F270" i="35600"/>
  <c r="M270" i="35600" s="1"/>
  <c r="L270" i="35600" s="1"/>
  <c r="F333" i="35600"/>
  <c r="M333" i="35600" s="1"/>
  <c r="L333" i="35600" s="1"/>
  <c r="F289" i="35600"/>
  <c r="M289" i="35600" s="1"/>
  <c r="L289" i="35600" s="1"/>
  <c r="F150" i="35600"/>
  <c r="F325" i="35600"/>
  <c r="F232" i="35600"/>
  <c r="M232" i="35600" s="1"/>
  <c r="L232" i="35600" s="1"/>
  <c r="F285" i="35600"/>
  <c r="G285" i="35600" s="1"/>
  <c r="J285" i="35600" s="1"/>
  <c r="CK91" i="35569"/>
  <c r="F155" i="35600"/>
  <c r="G155" i="35600" s="1"/>
  <c r="J155" i="35600" s="1"/>
  <c r="F248" i="35600"/>
  <c r="F240" i="35600"/>
  <c r="M240" i="35600" s="1"/>
  <c r="L240" i="35600" s="1"/>
  <c r="F236" i="35600"/>
  <c r="F263" i="35600"/>
  <c r="F259" i="35600"/>
  <c r="G259" i="35600" s="1"/>
  <c r="J259" i="35600" s="1"/>
  <c r="F346" i="35600"/>
  <c r="F329" i="35600"/>
  <c r="F327" i="35600"/>
  <c r="M327" i="35600" s="1"/>
  <c r="L327" i="35600" s="1"/>
  <c r="F340" i="35600"/>
  <c r="M340" i="35600" s="1"/>
  <c r="L340" i="35600" s="1"/>
  <c r="F348" i="35600"/>
  <c r="M348" i="35600" s="1"/>
  <c r="L348" i="35600" s="1"/>
  <c r="F286" i="35600"/>
  <c r="K286" i="35600" s="1"/>
  <c r="CM95" i="35569"/>
  <c r="CG95" i="35569"/>
  <c r="CK95" i="35569"/>
  <c r="F342" i="35600"/>
  <c r="F154" i="35600"/>
  <c r="K154" i="35600" s="1"/>
  <c r="F268" i="35600"/>
  <c r="G268" i="35600" s="1"/>
  <c r="J268" i="35600" s="1"/>
  <c r="F344" i="35600"/>
  <c r="G344" i="35600" s="1"/>
  <c r="J344" i="35600" s="1"/>
  <c r="F335" i="35600"/>
  <c r="G335" i="35600" s="1"/>
  <c r="J335" i="35600" s="1"/>
  <c r="F331" i="35600"/>
  <c r="M331" i="35600" s="1"/>
  <c r="L331" i="35600" s="1"/>
  <c r="F231" i="35600"/>
  <c r="K231" i="35600" s="1"/>
  <c r="F275" i="35600"/>
  <c r="M275" i="35600" s="1"/>
  <c r="L275" i="35600" s="1"/>
  <c r="F303" i="35600"/>
  <c r="G303" i="35600" s="1"/>
  <c r="J303" i="35600" s="1"/>
  <c r="F301" i="35600"/>
  <c r="M301" i="35600" s="1"/>
  <c r="L301" i="35600" s="1"/>
  <c r="F299" i="35600"/>
  <c r="K299" i="35600" s="1"/>
  <c r="F137" i="35600"/>
  <c r="K137" i="35600" s="1"/>
  <c r="F293" i="35600"/>
  <c r="F274" i="35600"/>
  <c r="F148" i="35600"/>
  <c r="K148" i="35600" s="1"/>
  <c r="F267" i="35600"/>
  <c r="F276" i="35600"/>
  <c r="F247" i="35600"/>
  <c r="G247" i="35600" s="1"/>
  <c r="J247" i="35600" s="1"/>
  <c r="F339" i="35600"/>
  <c r="K339" i="35600" s="1"/>
  <c r="F337" i="35600"/>
  <c r="K337" i="35600" s="1"/>
  <c r="F352" i="35600"/>
  <c r="M352" i="35600" s="1"/>
  <c r="L352" i="35600" s="1"/>
  <c r="F336" i="35600"/>
  <c r="M336" i="35600" s="1"/>
  <c r="L336" i="35600" s="1"/>
  <c r="F284" i="35600"/>
  <c r="F139" i="35600"/>
  <c r="K139" i="35600" s="1"/>
  <c r="F258" i="35600"/>
  <c r="F273" i="35600"/>
  <c r="G273" i="35600" s="1"/>
  <c r="J273" i="35600" s="1"/>
  <c r="F271" i="35600"/>
  <c r="G271" i="35600" s="1"/>
  <c r="J271" i="35600" s="1"/>
  <c r="F269" i="35600"/>
  <c r="K269" i="35600" s="1"/>
  <c r="F245" i="35600"/>
  <c r="M245" i="35600" s="1"/>
  <c r="L245" i="35600" s="1"/>
  <c r="F283" i="35600"/>
  <c r="M283" i="35600" s="1"/>
  <c r="L283" i="35600" s="1"/>
  <c r="F243" i="35600"/>
  <c r="F239" i="35600"/>
  <c r="K239" i="35600" s="1"/>
  <c r="F235" i="35600"/>
  <c r="G235" i="35600" s="1"/>
  <c r="J235" i="35600" s="1"/>
  <c r="F292" i="35600"/>
  <c r="F86" i="35600"/>
  <c r="K86" i="35600" s="1"/>
  <c r="F84" i="35600"/>
  <c r="M84" i="35600" s="1"/>
  <c r="L84" i="35600" s="1"/>
  <c r="F338" i="35600"/>
  <c r="F277" i="35600"/>
  <c r="F246" i="35600"/>
  <c r="K246" i="35600" s="1"/>
  <c r="F349" i="35600"/>
  <c r="K349" i="35600" s="1"/>
  <c r="CU76" i="35569"/>
  <c r="BY95" i="35569"/>
  <c r="CI95" i="35569"/>
  <c r="F326" i="35600"/>
  <c r="F233" i="35600"/>
  <c r="M233" i="35600" s="1"/>
  <c r="L233" i="35600" s="1"/>
  <c r="D56" i="35600"/>
  <c r="F66" i="35600" s="1"/>
  <c r="K66" i="35600" s="1"/>
  <c r="DJ33" i="35569"/>
  <c r="AB69" i="35569"/>
  <c r="CU88" i="35569"/>
  <c r="F145" i="35600"/>
  <c r="M145" i="35600" s="1"/>
  <c r="L145" i="35600" s="1"/>
  <c r="F144" i="35600"/>
  <c r="G144" i="35600" s="1"/>
  <c r="J144" i="35600" s="1"/>
  <c r="F143" i="35600"/>
  <c r="K143" i="35600" s="1"/>
  <c r="F142" i="35600"/>
  <c r="M142" i="35600" s="1"/>
  <c r="L142" i="35600" s="1"/>
  <c r="F135" i="35600"/>
  <c r="K135" i="35600" s="1"/>
  <c r="F298" i="35600"/>
  <c r="F297" i="35600"/>
  <c r="F296" i="35600"/>
  <c r="K296" i="35600" s="1"/>
  <c r="F295" i="35600"/>
  <c r="G295" i="35600" s="1"/>
  <c r="J295" i="35600" s="1"/>
  <c r="CE91" i="35569"/>
  <c r="CE92" i="35569"/>
  <c r="D205" i="35600"/>
  <c r="DN62" i="35569"/>
  <c r="D419" i="35600"/>
  <c r="F409" i="35600" s="1"/>
  <c r="DU62" i="35569"/>
  <c r="CS91" i="35569"/>
  <c r="CS92" i="35569"/>
  <c r="I19" i="35581"/>
  <c r="L19" i="35581" s="1"/>
  <c r="E30" i="35572"/>
  <c r="W12" i="35601"/>
  <c r="W13" i="35601" s="1"/>
  <c r="V13" i="35601"/>
  <c r="F230" i="35600"/>
  <c r="F93" i="35600"/>
  <c r="F96" i="35600"/>
  <c r="F136" i="35600"/>
  <c r="F351" i="35600"/>
  <c r="F138" i="35600"/>
  <c r="F141" i="35600"/>
  <c r="F146" i="35600"/>
  <c r="F153" i="35600"/>
  <c r="F140" i="35600"/>
  <c r="F371" i="35600" l="1"/>
  <c r="M371" i="35600" s="1"/>
  <c r="L371" i="35600" s="1"/>
  <c r="M407" i="35600"/>
  <c r="L407" i="35600" s="1"/>
  <c r="K376" i="35600"/>
  <c r="M391" i="35600"/>
  <c r="L391" i="35600" s="1"/>
  <c r="G26" i="35574"/>
  <c r="H27" i="35574"/>
  <c r="H28" i="35574" s="1"/>
  <c r="H29" i="35574" s="1"/>
  <c r="H30" i="35574" s="1"/>
  <c r="H31" i="35574" s="1"/>
  <c r="H32" i="35574" s="1"/>
  <c r="H33" i="35574" s="1"/>
  <c r="H34" i="35574" s="1"/>
  <c r="H35" i="35574" s="1"/>
  <c r="H36" i="35574" s="1"/>
  <c r="H37" i="35574" s="1"/>
  <c r="H38" i="35574" s="1"/>
  <c r="H39" i="35574" s="1"/>
  <c r="H40" i="35574" s="1"/>
  <c r="H41" i="35574" s="1"/>
  <c r="H42" i="35574" s="1"/>
  <c r="H43" i="35574" s="1"/>
  <c r="H44" i="35574" s="1"/>
  <c r="H45" i="35574" s="1"/>
  <c r="H46" i="35574" s="1"/>
  <c r="H47" i="35574" s="1"/>
  <c r="F27" i="35574"/>
  <c r="K80" i="35600"/>
  <c r="M86" i="35600"/>
  <c r="L86" i="35600" s="1"/>
  <c r="M376" i="35600"/>
  <c r="L376" i="35600" s="1"/>
  <c r="G391" i="35600"/>
  <c r="J391" i="35600" s="1"/>
  <c r="G180" i="35600"/>
  <c r="J180" i="35600" s="1"/>
  <c r="G261" i="35600"/>
  <c r="J261" i="35600" s="1"/>
  <c r="M173" i="35600"/>
  <c r="L173" i="35600" s="1"/>
  <c r="G177" i="35600"/>
  <c r="J177" i="35600" s="1"/>
  <c r="M379" i="35600"/>
  <c r="L379" i="35600" s="1"/>
  <c r="K224" i="35600"/>
  <c r="M344" i="35600"/>
  <c r="L344" i="35600" s="1"/>
  <c r="K177" i="35600"/>
  <c r="M168" i="35600"/>
  <c r="L168" i="35600" s="1"/>
  <c r="G173" i="35600"/>
  <c r="J173" i="35600" s="1"/>
  <c r="K129" i="35600"/>
  <c r="G142" i="35600"/>
  <c r="J142" i="35600" s="1"/>
  <c r="G253" i="35600"/>
  <c r="J253" i="35600" s="1"/>
  <c r="G388" i="35600"/>
  <c r="J388" i="35600" s="1"/>
  <c r="K407" i="35600"/>
  <c r="G174" i="35600"/>
  <c r="J174" i="35600" s="1"/>
  <c r="G94" i="35600"/>
  <c r="J94" i="35600" s="1"/>
  <c r="G319" i="35600"/>
  <c r="J319" i="35600" s="1"/>
  <c r="G313" i="35600"/>
  <c r="J313" i="35600" s="1"/>
  <c r="K217" i="35600"/>
  <c r="M67" i="35600"/>
  <c r="L67" i="35600" s="1"/>
  <c r="K181" i="35600"/>
  <c r="K280" i="35600"/>
  <c r="K381" i="35600"/>
  <c r="M398" i="35600"/>
  <c r="L398" i="35600" s="1"/>
  <c r="G217" i="35600"/>
  <c r="J217" i="35600" s="1"/>
  <c r="G381" i="35600"/>
  <c r="J381" i="35600" s="1"/>
  <c r="G190" i="35600"/>
  <c r="J190" i="35600" s="1"/>
  <c r="K92" i="35600"/>
  <c r="G151" i="35600"/>
  <c r="J151" i="35600" s="1"/>
  <c r="M174" i="35600"/>
  <c r="L174" i="35600" s="1"/>
  <c r="K343" i="35600"/>
  <c r="M90" i="35600"/>
  <c r="L90" i="35600" s="1"/>
  <c r="K94" i="35600"/>
  <c r="G398" i="35600"/>
  <c r="J398" i="35600" s="1"/>
  <c r="G332" i="35600"/>
  <c r="J332" i="35600" s="1"/>
  <c r="G218" i="35600"/>
  <c r="J218" i="35600" s="1"/>
  <c r="G408" i="35600"/>
  <c r="J408" i="35600" s="1"/>
  <c r="K244" i="35600"/>
  <c r="M296" i="35600"/>
  <c r="L296" i="35600" s="1"/>
  <c r="M402" i="35600"/>
  <c r="L402" i="35600" s="1"/>
  <c r="G66" i="35600"/>
  <c r="J66" i="35600" s="1"/>
  <c r="M231" i="35600"/>
  <c r="L231" i="35600" s="1"/>
  <c r="K259" i="35600"/>
  <c r="M148" i="35600"/>
  <c r="L148" i="35600" s="1"/>
  <c r="G379" i="35600"/>
  <c r="J379" i="35600" s="1"/>
  <c r="G246" i="35600"/>
  <c r="J246" i="35600" s="1"/>
  <c r="K324" i="35600"/>
  <c r="G280" i="35600"/>
  <c r="J280" i="35600" s="1"/>
  <c r="M180" i="35600"/>
  <c r="L180" i="35600" s="1"/>
  <c r="M332" i="35600"/>
  <c r="L332" i="35600" s="1"/>
  <c r="G124" i="35600"/>
  <c r="J124" i="35600" s="1"/>
  <c r="G148" i="35600"/>
  <c r="J148" i="35600" s="1"/>
  <c r="G260" i="35600"/>
  <c r="J260" i="35600" s="1"/>
  <c r="M181" i="35600"/>
  <c r="L181" i="35600" s="1"/>
  <c r="M287" i="35600"/>
  <c r="L287" i="35600" s="1"/>
  <c r="M244" i="35600"/>
  <c r="L244" i="35600" s="1"/>
  <c r="M158" i="35600"/>
  <c r="L158" i="35600" s="1"/>
  <c r="M176" i="35600"/>
  <c r="L176" i="35600" s="1"/>
  <c r="K287" i="35600"/>
  <c r="K278" i="35600"/>
  <c r="M319" i="35600"/>
  <c r="L319" i="35600" s="1"/>
  <c r="G158" i="35600"/>
  <c r="J158" i="35600" s="1"/>
  <c r="K176" i="35600"/>
  <c r="G383" i="35600"/>
  <c r="J383" i="35600" s="1"/>
  <c r="G245" i="35600"/>
  <c r="J245" i="35600" s="1"/>
  <c r="G231" i="35600"/>
  <c r="J231" i="35600" s="1"/>
  <c r="M147" i="35600"/>
  <c r="L147" i="35600" s="1"/>
  <c r="G127" i="35600"/>
  <c r="J127" i="35600" s="1"/>
  <c r="M383" i="35600"/>
  <c r="L383" i="35600" s="1"/>
  <c r="M259" i="35600"/>
  <c r="L259" i="35600" s="1"/>
  <c r="K127" i="35600"/>
  <c r="K300" i="35600"/>
  <c r="M221" i="35600"/>
  <c r="L221" i="35600" s="1"/>
  <c r="K241" i="35600"/>
  <c r="G168" i="35600"/>
  <c r="J168" i="35600" s="1"/>
  <c r="G302" i="35600"/>
  <c r="J302" i="35600" s="1"/>
  <c r="M262" i="35600"/>
  <c r="L262" i="35600" s="1"/>
  <c r="G170" i="35600"/>
  <c r="J170" i="35600" s="1"/>
  <c r="M246" i="35600"/>
  <c r="L246" i="35600" s="1"/>
  <c r="K126" i="35600"/>
  <c r="G167" i="35600"/>
  <c r="J167" i="35600" s="1"/>
  <c r="G222" i="35600"/>
  <c r="J222" i="35600" s="1"/>
  <c r="K262" i="35600"/>
  <c r="G278" i="35600"/>
  <c r="J278" i="35600" s="1"/>
  <c r="M149" i="35600"/>
  <c r="L149" i="35600" s="1"/>
  <c r="G90" i="35600"/>
  <c r="J90" i="35600" s="1"/>
  <c r="G67" i="35600"/>
  <c r="J67" i="35600" s="1"/>
  <c r="M157" i="35600"/>
  <c r="L157" i="35600" s="1"/>
  <c r="G334" i="35600"/>
  <c r="J334" i="35600" s="1"/>
  <c r="M187" i="35600"/>
  <c r="L187" i="35600" s="1"/>
  <c r="G220" i="35600"/>
  <c r="J220" i="35600" s="1"/>
  <c r="K225" i="35600"/>
  <c r="K265" i="35600"/>
  <c r="G149" i="35600"/>
  <c r="J149" i="35600" s="1"/>
  <c r="K394" i="35600"/>
  <c r="K253" i="35600"/>
  <c r="K232" i="35600"/>
  <c r="K408" i="35600"/>
  <c r="G157" i="35600"/>
  <c r="J157" i="35600" s="1"/>
  <c r="K335" i="35600"/>
  <c r="G187" i="35600"/>
  <c r="J187" i="35600" s="1"/>
  <c r="K220" i="35600"/>
  <c r="G225" i="35600"/>
  <c r="J225" i="35600" s="1"/>
  <c r="M265" i="35600"/>
  <c r="L265" i="35600" s="1"/>
  <c r="K151" i="35600"/>
  <c r="K152" i="35600"/>
  <c r="M394" i="35600"/>
  <c r="L394" i="35600" s="1"/>
  <c r="K134" i="35600"/>
  <c r="G232" i="35600"/>
  <c r="J232" i="35600" s="1"/>
  <c r="M179" i="35600"/>
  <c r="L179" i="35600" s="1"/>
  <c r="M227" i="35600"/>
  <c r="L227" i="35600" s="1"/>
  <c r="K279" i="35600"/>
  <c r="G289" i="35600"/>
  <c r="J289" i="35600" s="1"/>
  <c r="G306" i="35600"/>
  <c r="J306" i="35600" s="1"/>
  <c r="K178" i="35600"/>
  <c r="K334" i="35600"/>
  <c r="K226" i="35600"/>
  <c r="G321" i="35600"/>
  <c r="J321" i="35600" s="1"/>
  <c r="M300" i="35600"/>
  <c r="L300" i="35600" s="1"/>
  <c r="G339" i="35600"/>
  <c r="J339" i="35600" s="1"/>
  <c r="M343" i="35600"/>
  <c r="L343" i="35600" s="1"/>
  <c r="G86" i="35600"/>
  <c r="J86" i="35600" s="1"/>
  <c r="G241" i="35600"/>
  <c r="J241" i="35600" s="1"/>
  <c r="G178" i="35600"/>
  <c r="J178" i="35600" s="1"/>
  <c r="K219" i="35600"/>
  <c r="G296" i="35600"/>
  <c r="J296" i="35600" s="1"/>
  <c r="K190" i="35600"/>
  <c r="K98" i="35600"/>
  <c r="G221" i="35600"/>
  <c r="J221" i="35600" s="1"/>
  <c r="K302" i="35600"/>
  <c r="K75" i="35600"/>
  <c r="K175" i="35600"/>
  <c r="M155" i="35600"/>
  <c r="L155" i="35600" s="1"/>
  <c r="G270" i="35600"/>
  <c r="J270" i="35600" s="1"/>
  <c r="G129" i="35600"/>
  <c r="J129" i="35600" s="1"/>
  <c r="M224" i="35600"/>
  <c r="L224" i="35600" s="1"/>
  <c r="G147" i="35600"/>
  <c r="J147" i="35600" s="1"/>
  <c r="K304" i="35600"/>
  <c r="K388" i="35600"/>
  <c r="G348" i="35600"/>
  <c r="J348" i="35600" s="1"/>
  <c r="M175" i="35600"/>
  <c r="L175" i="35600" s="1"/>
  <c r="K167" i="35600"/>
  <c r="K155" i="35600"/>
  <c r="K271" i="35600"/>
  <c r="K402" i="35600"/>
  <c r="F357" i="35600"/>
  <c r="K357" i="35600" s="1"/>
  <c r="K291" i="35600"/>
  <c r="M305" i="35600"/>
  <c r="L305" i="35600" s="1"/>
  <c r="M271" i="35600"/>
  <c r="L271" i="35600" s="1"/>
  <c r="K166" i="35600"/>
  <c r="K400" i="35600"/>
  <c r="G226" i="35600"/>
  <c r="J226" i="35600" s="1"/>
  <c r="K87" i="35600"/>
  <c r="G97" i="35600"/>
  <c r="J97" i="35600" s="1"/>
  <c r="G392" i="35600"/>
  <c r="J392" i="35600" s="1"/>
  <c r="K348" i="35600"/>
  <c r="G95" i="35600"/>
  <c r="J95" i="35600" s="1"/>
  <c r="G219" i="35600"/>
  <c r="J219" i="35600" s="1"/>
  <c r="K240" i="35600"/>
  <c r="G98" i="35600"/>
  <c r="J98" i="35600" s="1"/>
  <c r="M304" i="35600"/>
  <c r="L304" i="35600" s="1"/>
  <c r="M152" i="35600"/>
  <c r="L152" i="35600" s="1"/>
  <c r="M339" i="35600"/>
  <c r="L339" i="35600" s="1"/>
  <c r="K392" i="35600"/>
  <c r="G393" i="35600"/>
  <c r="J393" i="35600" s="1"/>
  <c r="G240" i="35600"/>
  <c r="J240" i="35600" s="1"/>
  <c r="K330" i="35600"/>
  <c r="K316" i="35600"/>
  <c r="G299" i="35600"/>
  <c r="J299" i="35600" s="1"/>
  <c r="K393" i="35600"/>
  <c r="G290" i="35600"/>
  <c r="J290" i="35600" s="1"/>
  <c r="M330" i="35600"/>
  <c r="L330" i="35600" s="1"/>
  <c r="M165" i="35600"/>
  <c r="L165" i="35600" s="1"/>
  <c r="M261" i="35600"/>
  <c r="L261" i="35600" s="1"/>
  <c r="G269" i="35600"/>
  <c r="J269" i="35600" s="1"/>
  <c r="M170" i="35600"/>
  <c r="L170" i="35600" s="1"/>
  <c r="K69" i="35600"/>
  <c r="K344" i="35600"/>
  <c r="G165" i="35600"/>
  <c r="J165" i="35600" s="1"/>
  <c r="F122" i="35600"/>
  <c r="K122" i="35600" s="1"/>
  <c r="M69" i="35600"/>
  <c r="L69" i="35600" s="1"/>
  <c r="G126" i="35600"/>
  <c r="J126" i="35600" s="1"/>
  <c r="G324" i="35600"/>
  <c r="J324" i="35600" s="1"/>
  <c r="K192" i="35600"/>
  <c r="K142" i="35600"/>
  <c r="F106" i="35600"/>
  <c r="G106" i="35600" s="1"/>
  <c r="J106" i="35600" s="1"/>
  <c r="F119" i="35600"/>
  <c r="K119" i="35600" s="1"/>
  <c r="M316" i="35600"/>
  <c r="L316" i="35600" s="1"/>
  <c r="M191" i="35600"/>
  <c r="L191" i="35600" s="1"/>
  <c r="M321" i="35600"/>
  <c r="L321" i="35600" s="1"/>
  <c r="G87" i="35600"/>
  <c r="J87" i="35600" s="1"/>
  <c r="M76" i="35600"/>
  <c r="L76" i="35600" s="1"/>
  <c r="G399" i="35600"/>
  <c r="J399" i="35600" s="1"/>
  <c r="M144" i="35600"/>
  <c r="L144" i="35600" s="1"/>
  <c r="K397" i="35600"/>
  <c r="F111" i="35600"/>
  <c r="M111" i="35600" s="1"/>
  <c r="L111" i="35600" s="1"/>
  <c r="K76" i="35600"/>
  <c r="K380" i="35600"/>
  <c r="M68" i="35600"/>
  <c r="L68" i="35600" s="1"/>
  <c r="K256" i="35600"/>
  <c r="M349" i="35600"/>
  <c r="L349" i="35600" s="1"/>
  <c r="K144" i="35600"/>
  <c r="K341" i="35600"/>
  <c r="M85" i="35600"/>
  <c r="L85" i="35600" s="1"/>
  <c r="M222" i="35600"/>
  <c r="L222" i="35600" s="1"/>
  <c r="M182" i="35600"/>
  <c r="L182" i="35600" s="1"/>
  <c r="K331" i="35600"/>
  <c r="K307" i="35600"/>
  <c r="M79" i="35600"/>
  <c r="L79" i="35600" s="1"/>
  <c r="G234" i="35600"/>
  <c r="J234" i="35600" s="1"/>
  <c r="M285" i="35600"/>
  <c r="L285" i="35600" s="1"/>
  <c r="G380" i="35600"/>
  <c r="J380" i="35600" s="1"/>
  <c r="M229" i="35600"/>
  <c r="L229" i="35600" s="1"/>
  <c r="M286" i="35600"/>
  <c r="L286" i="35600" s="1"/>
  <c r="M156" i="35600"/>
  <c r="L156" i="35600" s="1"/>
  <c r="G406" i="35600"/>
  <c r="J406" i="35600" s="1"/>
  <c r="G256" i="35600"/>
  <c r="J256" i="35600" s="1"/>
  <c r="G275" i="35600"/>
  <c r="J275" i="35600" s="1"/>
  <c r="G331" i="35600"/>
  <c r="J331" i="35600" s="1"/>
  <c r="M216" i="35600"/>
  <c r="L216" i="35600" s="1"/>
  <c r="M341" i="35600"/>
  <c r="L341" i="35600" s="1"/>
  <c r="G317" i="35600"/>
  <c r="J317" i="35600" s="1"/>
  <c r="K233" i="35600"/>
  <c r="G239" i="35600"/>
  <c r="J239" i="35600" s="1"/>
  <c r="K182" i="35600"/>
  <c r="G103" i="35600"/>
  <c r="J103" i="35600" s="1"/>
  <c r="F114" i="35600"/>
  <c r="G114" i="35600" s="1"/>
  <c r="J114" i="35600" s="1"/>
  <c r="K285" i="35600"/>
  <c r="G229" i="35600"/>
  <c r="J229" i="35600" s="1"/>
  <c r="M91" i="35600"/>
  <c r="L91" i="35600" s="1"/>
  <c r="M387" i="35600"/>
  <c r="L387" i="35600" s="1"/>
  <c r="F113" i="35600"/>
  <c r="M113" i="35600" s="1"/>
  <c r="L113" i="35600" s="1"/>
  <c r="K406" i="35600"/>
  <c r="M124" i="35600"/>
  <c r="L124" i="35600" s="1"/>
  <c r="G291" i="35600"/>
  <c r="J291" i="35600" s="1"/>
  <c r="K275" i="35600"/>
  <c r="K245" i="35600"/>
  <c r="F107" i="35600"/>
  <c r="G107" i="35600" s="1"/>
  <c r="J107" i="35600" s="1"/>
  <c r="G233" i="35600"/>
  <c r="J233" i="35600" s="1"/>
  <c r="M103" i="35600"/>
  <c r="L103" i="35600" s="1"/>
  <c r="F115" i="35600"/>
  <c r="K115" i="35600" s="1"/>
  <c r="G387" i="35600"/>
  <c r="J387" i="35600" s="1"/>
  <c r="F110" i="35600"/>
  <c r="K101" i="35600"/>
  <c r="G101" i="35600"/>
  <c r="J101" i="35600" s="1"/>
  <c r="M101" i="35600"/>
  <c r="L101" i="35600" s="1"/>
  <c r="M223" i="35600"/>
  <c r="L223" i="35600" s="1"/>
  <c r="G223" i="35600"/>
  <c r="J223" i="35600" s="1"/>
  <c r="K223" i="35600"/>
  <c r="F365" i="35600"/>
  <c r="G365" i="35600" s="1"/>
  <c r="J365" i="35600" s="1"/>
  <c r="M230" i="35600"/>
  <c r="L230" i="35600" s="1"/>
  <c r="K230" i="35600"/>
  <c r="G230" i="35600"/>
  <c r="J230" i="35600" s="1"/>
  <c r="K81" i="35600"/>
  <c r="K371" i="35600"/>
  <c r="G345" i="35600"/>
  <c r="J345" i="35600" s="1"/>
  <c r="M266" i="35600"/>
  <c r="L266" i="35600" s="1"/>
  <c r="G266" i="35600"/>
  <c r="J266" i="35600" s="1"/>
  <c r="K266" i="35600"/>
  <c r="G128" i="35600"/>
  <c r="J128" i="35600" s="1"/>
  <c r="M128" i="35600"/>
  <c r="L128" i="35600" s="1"/>
  <c r="K128" i="35600"/>
  <c r="K345" i="35600"/>
  <c r="M320" i="35600"/>
  <c r="L320" i="35600" s="1"/>
  <c r="K320" i="35600"/>
  <c r="G288" i="35600"/>
  <c r="J288" i="35600" s="1"/>
  <c r="K288" i="35600"/>
  <c r="M288" i="35600"/>
  <c r="L288" i="35600" s="1"/>
  <c r="K311" i="35600"/>
  <c r="G311" i="35600"/>
  <c r="J311" i="35600" s="1"/>
  <c r="G171" i="35600"/>
  <c r="J171" i="35600" s="1"/>
  <c r="M171" i="35600"/>
  <c r="L171" i="35600" s="1"/>
  <c r="K171" i="35600"/>
  <c r="K70" i="35600"/>
  <c r="G70" i="35600"/>
  <c r="J70" i="35600" s="1"/>
  <c r="G83" i="35600"/>
  <c r="J83" i="35600" s="1"/>
  <c r="M83" i="35600"/>
  <c r="L83" i="35600" s="1"/>
  <c r="M385" i="35600"/>
  <c r="L385" i="35600" s="1"/>
  <c r="K385" i="35600"/>
  <c r="G189" i="35600"/>
  <c r="J189" i="35600" s="1"/>
  <c r="M189" i="35600"/>
  <c r="L189" i="35600" s="1"/>
  <c r="K189" i="35600"/>
  <c r="G251" i="35600"/>
  <c r="J251" i="35600" s="1"/>
  <c r="K251" i="35600"/>
  <c r="K130" i="35600"/>
  <c r="G130" i="35600"/>
  <c r="J130" i="35600" s="1"/>
  <c r="M130" i="35600"/>
  <c r="L130" i="35600" s="1"/>
  <c r="F366" i="35600"/>
  <c r="G366" i="35600" s="1"/>
  <c r="J366" i="35600" s="1"/>
  <c r="F368" i="35600"/>
  <c r="F358" i="35600"/>
  <c r="K358" i="35600" s="1"/>
  <c r="F355" i="35600"/>
  <c r="F363" i="35600"/>
  <c r="M363" i="35600" s="1"/>
  <c r="L363" i="35600" s="1"/>
  <c r="F360" i="35600"/>
  <c r="K360" i="35600" s="1"/>
  <c r="F354" i="35600"/>
  <c r="M354" i="35600" s="1"/>
  <c r="L354" i="35600" s="1"/>
  <c r="F369" i="35600"/>
  <c r="G369" i="35600" s="1"/>
  <c r="J369" i="35600" s="1"/>
  <c r="G184" i="35600"/>
  <c r="J184" i="35600" s="1"/>
  <c r="M184" i="35600"/>
  <c r="L184" i="35600" s="1"/>
  <c r="K184" i="35600"/>
  <c r="M399" i="35600"/>
  <c r="L399" i="35600" s="1"/>
  <c r="M307" i="35600"/>
  <c r="L307" i="35600" s="1"/>
  <c r="M311" i="35600"/>
  <c r="L311" i="35600" s="1"/>
  <c r="G89" i="35600"/>
  <c r="J89" i="35600" s="1"/>
  <c r="G277" i="35600"/>
  <c r="J277" i="35600" s="1"/>
  <c r="M277" i="35600"/>
  <c r="L277" i="35600" s="1"/>
  <c r="K277" i="35600"/>
  <c r="G283" i="35600"/>
  <c r="J283" i="35600" s="1"/>
  <c r="K283" i="35600"/>
  <c r="K336" i="35600"/>
  <c r="G336" i="35600"/>
  <c r="J336" i="35600" s="1"/>
  <c r="G274" i="35600"/>
  <c r="J274" i="35600" s="1"/>
  <c r="M274" i="35600"/>
  <c r="L274" i="35600" s="1"/>
  <c r="K263" i="35600"/>
  <c r="M263" i="35600"/>
  <c r="L263" i="35600" s="1"/>
  <c r="G263" i="35600"/>
  <c r="J263" i="35600" s="1"/>
  <c r="K325" i="35600"/>
  <c r="M325" i="35600"/>
  <c r="L325" i="35600" s="1"/>
  <c r="G325" i="35600"/>
  <c r="J325" i="35600" s="1"/>
  <c r="G172" i="35600"/>
  <c r="J172" i="35600" s="1"/>
  <c r="K172" i="35600"/>
  <c r="M172" i="35600"/>
  <c r="L172" i="35600" s="1"/>
  <c r="K82" i="35600"/>
  <c r="M82" i="35600"/>
  <c r="L82" i="35600" s="1"/>
  <c r="G82" i="35600"/>
  <c r="J82" i="35600" s="1"/>
  <c r="G403" i="35600"/>
  <c r="J403" i="35600" s="1"/>
  <c r="K403" i="35600"/>
  <c r="M403" i="35600"/>
  <c r="L403" i="35600" s="1"/>
  <c r="G81" i="35600"/>
  <c r="J81" i="35600" s="1"/>
  <c r="F356" i="35600"/>
  <c r="M356" i="35600" s="1"/>
  <c r="L356" i="35600" s="1"/>
  <c r="G404" i="35600"/>
  <c r="J404" i="35600" s="1"/>
  <c r="K404" i="35600"/>
  <c r="M404" i="35600"/>
  <c r="L404" i="35600" s="1"/>
  <c r="M73" i="35600"/>
  <c r="L73" i="35600" s="1"/>
  <c r="G73" i="35600"/>
  <c r="J73" i="35600" s="1"/>
  <c r="K73" i="35600"/>
  <c r="K386" i="35600"/>
  <c r="M386" i="35600"/>
  <c r="L386" i="35600" s="1"/>
  <c r="K252" i="35600"/>
  <c r="M252" i="35600"/>
  <c r="L252" i="35600" s="1"/>
  <c r="G252" i="35600"/>
  <c r="J252" i="35600" s="1"/>
  <c r="K88" i="35600"/>
  <c r="G88" i="35600"/>
  <c r="J88" i="35600" s="1"/>
  <c r="M88" i="35600"/>
  <c r="L88" i="35600" s="1"/>
  <c r="M185" i="35600"/>
  <c r="L185" i="35600" s="1"/>
  <c r="K401" i="35600"/>
  <c r="G401" i="35600"/>
  <c r="J401" i="35600" s="1"/>
  <c r="F364" i="35600"/>
  <c r="G364" i="35600" s="1"/>
  <c r="J364" i="35600" s="1"/>
  <c r="G185" i="35600"/>
  <c r="J185" i="35600" s="1"/>
  <c r="K274" i="35600"/>
  <c r="M89" i="35600"/>
  <c r="L89" i="35600" s="1"/>
  <c r="G326" i="35600"/>
  <c r="J326" i="35600" s="1"/>
  <c r="K326" i="35600"/>
  <c r="M326" i="35600"/>
  <c r="L326" i="35600" s="1"/>
  <c r="K338" i="35600"/>
  <c r="G338" i="35600"/>
  <c r="J338" i="35600" s="1"/>
  <c r="M338" i="35600"/>
  <c r="L338" i="35600" s="1"/>
  <c r="K352" i="35600"/>
  <c r="G352" i="35600"/>
  <c r="J352" i="35600" s="1"/>
  <c r="K293" i="35600"/>
  <c r="G293" i="35600"/>
  <c r="J293" i="35600" s="1"/>
  <c r="K236" i="35600"/>
  <c r="M236" i="35600"/>
  <c r="L236" i="35600" s="1"/>
  <c r="G150" i="35600"/>
  <c r="J150" i="35600" s="1"/>
  <c r="K150" i="35600"/>
  <c r="F116" i="35600"/>
  <c r="G116" i="35600" s="1"/>
  <c r="J116" i="35600" s="1"/>
  <c r="K317" i="35600"/>
  <c r="M313" i="35600"/>
  <c r="L313" i="35600" s="1"/>
  <c r="K235" i="35600"/>
  <c r="M80" i="35600"/>
  <c r="L80" i="35600" s="1"/>
  <c r="M143" i="35600"/>
  <c r="L143" i="35600" s="1"/>
  <c r="M166" i="35600"/>
  <c r="L166" i="35600" s="1"/>
  <c r="G397" i="35600"/>
  <c r="J397" i="35600" s="1"/>
  <c r="F117" i="35600"/>
  <c r="G117" i="35600" s="1"/>
  <c r="J117" i="35600" s="1"/>
  <c r="M99" i="35600"/>
  <c r="L99" i="35600" s="1"/>
  <c r="K191" i="35600"/>
  <c r="K289" i="35600"/>
  <c r="G137" i="35600"/>
  <c r="J137" i="35600" s="1"/>
  <c r="M306" i="35600"/>
  <c r="L306" i="35600" s="1"/>
  <c r="F108" i="35600"/>
  <c r="M108" i="35600" s="1"/>
  <c r="L108" i="35600" s="1"/>
  <c r="CU92" i="35569"/>
  <c r="G135" i="35600"/>
  <c r="J135" i="35600" s="1"/>
  <c r="F109" i="35600"/>
  <c r="K109" i="35600" s="1"/>
  <c r="F118" i="35600"/>
  <c r="M118" i="35600" s="1"/>
  <c r="L118" i="35600" s="1"/>
  <c r="M135" i="35600"/>
  <c r="L135" i="35600" s="1"/>
  <c r="M154" i="35600"/>
  <c r="L154" i="35600" s="1"/>
  <c r="M400" i="35600"/>
  <c r="L400" i="35600" s="1"/>
  <c r="K234" i="35600"/>
  <c r="M137" i="35600"/>
  <c r="L137" i="35600" s="1"/>
  <c r="G390" i="35600"/>
  <c r="J390" i="35600" s="1"/>
  <c r="M322" i="35600"/>
  <c r="L322" i="35600" s="1"/>
  <c r="M347" i="35600"/>
  <c r="L347" i="35600" s="1"/>
  <c r="G279" i="35600"/>
  <c r="J279" i="35600" s="1"/>
  <c r="K309" i="35600"/>
  <c r="M310" i="35600"/>
  <c r="L310" i="35600" s="1"/>
  <c r="F105" i="35600"/>
  <c r="K105" i="35600" s="1"/>
  <c r="K218" i="35600"/>
  <c r="G79" i="35600"/>
  <c r="J79" i="35600" s="1"/>
  <c r="K260" i="35600"/>
  <c r="K68" i="35600"/>
  <c r="G91" i="35600"/>
  <c r="J91" i="35600" s="1"/>
  <c r="K390" i="35600"/>
  <c r="CU95" i="35569"/>
  <c r="K322" i="35600"/>
  <c r="G309" i="35600"/>
  <c r="J309" i="35600" s="1"/>
  <c r="G310" i="35600"/>
  <c r="J310" i="35600" s="1"/>
  <c r="F121" i="35600"/>
  <c r="G121" i="35600" s="1"/>
  <c r="J121" i="35600" s="1"/>
  <c r="F112" i="35600"/>
  <c r="M112" i="35600" s="1"/>
  <c r="L112" i="35600" s="1"/>
  <c r="G308" i="35600"/>
  <c r="J308" i="35600" s="1"/>
  <c r="K318" i="35600"/>
  <c r="K95" i="35600"/>
  <c r="K227" i="35600"/>
  <c r="F104" i="35600"/>
  <c r="M104" i="35600" s="1"/>
  <c r="L104" i="35600" s="1"/>
  <c r="F120" i="35600"/>
  <c r="M120" i="35600" s="1"/>
  <c r="L120" i="35600" s="1"/>
  <c r="K308" i="35600"/>
  <c r="G318" i="35600"/>
  <c r="J318" i="35600" s="1"/>
  <c r="G347" i="35600"/>
  <c r="J347" i="35600" s="1"/>
  <c r="G162" i="35600"/>
  <c r="J162" i="35600" s="1"/>
  <c r="M382" i="35600"/>
  <c r="L382" i="35600" s="1"/>
  <c r="F123" i="35600"/>
  <c r="G123" i="35600" s="1"/>
  <c r="J123" i="35600" s="1"/>
  <c r="G327" i="35600"/>
  <c r="J327" i="35600" s="1"/>
  <c r="M134" i="35600"/>
  <c r="L134" i="35600" s="1"/>
  <c r="K264" i="35600"/>
  <c r="G264" i="35600"/>
  <c r="J264" i="35600" s="1"/>
  <c r="M272" i="35600"/>
  <c r="L272" i="35600" s="1"/>
  <c r="K272" i="35600"/>
  <c r="M264" i="35600"/>
  <c r="L264" i="35600" s="1"/>
  <c r="M292" i="35600"/>
  <c r="L292" i="35600" s="1"/>
  <c r="G292" i="35600"/>
  <c r="J292" i="35600" s="1"/>
  <c r="K292" i="35600"/>
  <c r="K247" i="35600"/>
  <c r="M247" i="35600"/>
  <c r="L247" i="35600" s="1"/>
  <c r="K248" i="35600"/>
  <c r="G248" i="35600"/>
  <c r="J248" i="35600" s="1"/>
  <c r="K350" i="35600"/>
  <c r="G350" i="35600"/>
  <c r="J350" i="35600" s="1"/>
  <c r="M350" i="35600"/>
  <c r="L350" i="35600" s="1"/>
  <c r="K258" i="35600"/>
  <c r="G258" i="35600"/>
  <c r="J258" i="35600" s="1"/>
  <c r="G276" i="35600"/>
  <c r="J276" i="35600" s="1"/>
  <c r="M276" i="35600"/>
  <c r="L276" i="35600" s="1"/>
  <c r="K276" i="35600"/>
  <c r="K333" i="35600"/>
  <c r="G333" i="35600"/>
  <c r="J333" i="35600" s="1"/>
  <c r="K312" i="35600"/>
  <c r="G312" i="35600"/>
  <c r="J312" i="35600" s="1"/>
  <c r="K389" i="35600"/>
  <c r="G389" i="35600"/>
  <c r="J389" i="35600" s="1"/>
  <c r="M389" i="35600"/>
  <c r="L389" i="35600" s="1"/>
  <c r="M238" i="35600"/>
  <c r="L238" i="35600" s="1"/>
  <c r="G238" i="35600"/>
  <c r="J238" i="35600" s="1"/>
  <c r="K238" i="35600"/>
  <c r="G395" i="35600"/>
  <c r="J395" i="35600" s="1"/>
  <c r="M395" i="35600"/>
  <c r="L395" i="35600" s="1"/>
  <c r="K395" i="35600"/>
  <c r="G249" i="35600"/>
  <c r="J249" i="35600" s="1"/>
  <c r="M249" i="35600"/>
  <c r="L249" i="35600" s="1"/>
  <c r="K194" i="35600"/>
  <c r="M194" i="35600"/>
  <c r="L194" i="35600" s="1"/>
  <c r="K159" i="35600"/>
  <c r="M159" i="35600"/>
  <c r="L159" i="35600" s="1"/>
  <c r="K323" i="35600"/>
  <c r="M323" i="35600"/>
  <c r="L323" i="35600" s="1"/>
  <c r="G323" i="35600"/>
  <c r="J323" i="35600" s="1"/>
  <c r="G85" i="35600"/>
  <c r="J85" i="35600" s="1"/>
  <c r="M248" i="35600"/>
  <c r="L248" i="35600" s="1"/>
  <c r="M273" i="35600"/>
  <c r="L273" i="35600" s="1"/>
  <c r="K314" i="35600"/>
  <c r="M312" i="35600"/>
  <c r="L312" i="35600" s="1"/>
  <c r="K301" i="35600"/>
  <c r="M295" i="35600"/>
  <c r="L295" i="35600" s="1"/>
  <c r="K295" i="35600"/>
  <c r="K145" i="35600"/>
  <c r="G145" i="35600"/>
  <c r="J145" i="35600" s="1"/>
  <c r="G159" i="35600"/>
  <c r="J159" i="35600" s="1"/>
  <c r="G342" i="35600"/>
  <c r="J342" i="35600" s="1"/>
  <c r="M342" i="35600"/>
  <c r="L342" i="35600" s="1"/>
  <c r="G329" i="35600"/>
  <c r="J329" i="35600" s="1"/>
  <c r="M329" i="35600"/>
  <c r="L329" i="35600" s="1"/>
  <c r="K237" i="35600"/>
  <c r="G237" i="35600"/>
  <c r="J237" i="35600" s="1"/>
  <c r="G156" i="35600"/>
  <c r="J156" i="35600" s="1"/>
  <c r="G377" i="35600"/>
  <c r="J377" i="35600" s="1"/>
  <c r="K377" i="35600"/>
  <c r="M377" i="35600"/>
  <c r="L377" i="35600" s="1"/>
  <c r="G188" i="35600"/>
  <c r="J188" i="35600" s="1"/>
  <c r="K188" i="35600"/>
  <c r="M188" i="35600"/>
  <c r="L188" i="35600" s="1"/>
  <c r="G77" i="35600"/>
  <c r="J77" i="35600" s="1"/>
  <c r="M77" i="35600"/>
  <c r="L77" i="35600" s="1"/>
  <c r="K77" i="35600"/>
  <c r="M163" i="35600"/>
  <c r="L163" i="35600" s="1"/>
  <c r="G163" i="35600"/>
  <c r="J163" i="35600" s="1"/>
  <c r="K163" i="35600"/>
  <c r="G125" i="35600"/>
  <c r="J125" i="35600" s="1"/>
  <c r="K125" i="35600"/>
  <c r="K186" i="35600"/>
  <c r="M186" i="35600"/>
  <c r="L186" i="35600" s="1"/>
  <c r="K282" i="35600"/>
  <c r="G282" i="35600"/>
  <c r="J282" i="35600" s="1"/>
  <c r="K257" i="35600"/>
  <c r="M257" i="35600"/>
  <c r="L257" i="35600" s="1"/>
  <c r="K71" i="35600"/>
  <c r="M71" i="35600"/>
  <c r="L71" i="35600" s="1"/>
  <c r="K164" i="35600"/>
  <c r="M164" i="35600"/>
  <c r="L164" i="35600" s="1"/>
  <c r="M328" i="35600"/>
  <c r="L328" i="35600" s="1"/>
  <c r="K328" i="35600"/>
  <c r="M193" i="35600"/>
  <c r="L193" i="35600" s="1"/>
  <c r="M72" i="35600"/>
  <c r="L72" i="35600" s="1"/>
  <c r="M268" i="35600"/>
  <c r="L268" i="35600" s="1"/>
  <c r="K273" i="35600"/>
  <c r="G314" i="35600"/>
  <c r="J314" i="35600" s="1"/>
  <c r="G301" i="35600"/>
  <c r="J301" i="35600" s="1"/>
  <c r="G243" i="35600"/>
  <c r="J243" i="35600" s="1"/>
  <c r="K243" i="35600"/>
  <c r="M243" i="35600"/>
  <c r="L243" i="35600" s="1"/>
  <c r="G284" i="35600"/>
  <c r="J284" i="35600" s="1"/>
  <c r="K284" i="35600"/>
  <c r="M284" i="35600"/>
  <c r="L284" i="35600" s="1"/>
  <c r="G267" i="35600"/>
  <c r="J267" i="35600" s="1"/>
  <c r="K267" i="35600"/>
  <c r="M267" i="35600"/>
  <c r="L267" i="35600" s="1"/>
  <c r="M346" i="35600"/>
  <c r="L346" i="35600" s="1"/>
  <c r="K346" i="35600"/>
  <c r="G346" i="35600"/>
  <c r="J346" i="35600" s="1"/>
  <c r="K396" i="35600"/>
  <c r="M396" i="35600"/>
  <c r="L396" i="35600" s="1"/>
  <c r="G384" i="35600"/>
  <c r="J384" i="35600" s="1"/>
  <c r="M384" i="35600"/>
  <c r="L384" i="35600" s="1"/>
  <c r="K384" i="35600"/>
  <c r="M169" i="35600"/>
  <c r="L169" i="35600" s="1"/>
  <c r="K169" i="35600"/>
  <c r="M74" i="35600"/>
  <c r="L74" i="35600" s="1"/>
  <c r="G74" i="35600"/>
  <c r="J74" i="35600" s="1"/>
  <c r="K374" i="35600"/>
  <c r="G374" i="35600"/>
  <c r="J374" i="35600" s="1"/>
  <c r="M374" i="35600"/>
  <c r="L374" i="35600" s="1"/>
  <c r="G100" i="35600"/>
  <c r="J100" i="35600" s="1"/>
  <c r="M100" i="35600"/>
  <c r="L100" i="35600" s="1"/>
  <c r="M78" i="35600"/>
  <c r="L78" i="35600" s="1"/>
  <c r="K78" i="35600"/>
  <c r="K132" i="35600"/>
  <c r="M132" i="35600"/>
  <c r="L132" i="35600" s="1"/>
  <c r="G132" i="35600"/>
  <c r="J132" i="35600" s="1"/>
  <c r="K161" i="35600"/>
  <c r="G161" i="35600"/>
  <c r="J161" i="35600" s="1"/>
  <c r="M161" i="35600"/>
  <c r="L161" i="35600" s="1"/>
  <c r="K340" i="35600"/>
  <c r="K193" i="35600"/>
  <c r="G72" i="35600"/>
  <c r="J72" i="35600" s="1"/>
  <c r="G169" i="35600"/>
  <c r="J169" i="35600" s="1"/>
  <c r="M66" i="35600"/>
  <c r="L66" i="35600" s="1"/>
  <c r="K268" i="35600"/>
  <c r="M258" i="35600"/>
  <c r="L258" i="35600" s="1"/>
  <c r="K327" i="35600"/>
  <c r="M290" i="35600"/>
  <c r="L290" i="35600" s="1"/>
  <c r="M242" i="35600"/>
  <c r="L242" i="35600" s="1"/>
  <c r="M125" i="35600"/>
  <c r="L125" i="35600" s="1"/>
  <c r="K97" i="35600"/>
  <c r="K405" i="35600"/>
  <c r="G297" i="35600"/>
  <c r="J297" i="35600" s="1"/>
  <c r="M297" i="35600"/>
  <c r="L297" i="35600" s="1"/>
  <c r="G102" i="35600"/>
  <c r="J102" i="35600" s="1"/>
  <c r="M102" i="35600"/>
  <c r="L102" i="35600" s="1"/>
  <c r="K102" i="35600"/>
  <c r="K250" i="35600"/>
  <c r="G250" i="35600"/>
  <c r="J250" i="35600" s="1"/>
  <c r="M250" i="35600"/>
  <c r="L250" i="35600" s="1"/>
  <c r="G183" i="35600"/>
  <c r="J183" i="35600" s="1"/>
  <c r="M183" i="35600"/>
  <c r="L183" i="35600" s="1"/>
  <c r="M228" i="35600"/>
  <c r="L228" i="35600" s="1"/>
  <c r="K228" i="35600"/>
  <c r="G228" i="35600"/>
  <c r="J228" i="35600" s="1"/>
  <c r="G315" i="35600"/>
  <c r="J315" i="35600" s="1"/>
  <c r="M315" i="35600"/>
  <c r="L315" i="35600" s="1"/>
  <c r="K315" i="35600"/>
  <c r="M375" i="35600"/>
  <c r="L375" i="35600" s="1"/>
  <c r="G375" i="35600"/>
  <c r="J375" i="35600" s="1"/>
  <c r="K375" i="35600"/>
  <c r="K281" i="35600"/>
  <c r="G281" i="35600"/>
  <c r="J281" i="35600" s="1"/>
  <c r="M281" i="35600"/>
  <c r="L281" i="35600" s="1"/>
  <c r="M255" i="35600"/>
  <c r="L255" i="35600" s="1"/>
  <c r="G255" i="35600"/>
  <c r="J255" i="35600" s="1"/>
  <c r="K255" i="35600"/>
  <c r="G216" i="35600"/>
  <c r="J216" i="35600" s="1"/>
  <c r="M75" i="35600"/>
  <c r="L75" i="35600" s="1"/>
  <c r="G340" i="35600"/>
  <c r="J340" i="35600" s="1"/>
  <c r="M235" i="35600"/>
  <c r="L235" i="35600" s="1"/>
  <c r="M162" i="35600"/>
  <c r="L162" i="35600" s="1"/>
  <c r="G78" i="35600"/>
  <c r="J78" i="35600" s="1"/>
  <c r="G154" i="35600"/>
  <c r="J154" i="35600" s="1"/>
  <c r="K382" i="35600"/>
  <c r="K179" i="35600"/>
  <c r="K99" i="35600"/>
  <c r="K100" i="35600"/>
  <c r="K242" i="35600"/>
  <c r="M299" i="35600"/>
  <c r="L299" i="35600" s="1"/>
  <c r="G405" i="35600"/>
  <c r="J405" i="35600" s="1"/>
  <c r="M298" i="35600"/>
  <c r="L298" i="35600" s="1"/>
  <c r="K298" i="35600"/>
  <c r="K378" i="35600"/>
  <c r="M378" i="35600"/>
  <c r="L378" i="35600" s="1"/>
  <c r="G378" i="35600"/>
  <c r="J378" i="35600" s="1"/>
  <c r="K131" i="35600"/>
  <c r="G131" i="35600"/>
  <c r="J131" i="35600" s="1"/>
  <c r="M131" i="35600"/>
  <c r="L131" i="35600" s="1"/>
  <c r="G84" i="35600"/>
  <c r="J84" i="35600" s="1"/>
  <c r="M192" i="35600"/>
  <c r="L192" i="35600" s="1"/>
  <c r="K305" i="35600"/>
  <c r="F367" i="35600"/>
  <c r="K367" i="35600" s="1"/>
  <c r="F359" i="35600"/>
  <c r="G385" i="35600"/>
  <c r="J385" i="35600" s="1"/>
  <c r="M92" i="35600"/>
  <c r="L92" i="35600" s="1"/>
  <c r="F370" i="35600"/>
  <c r="M133" i="35600"/>
  <c r="L133" i="35600" s="1"/>
  <c r="K133" i="35600"/>
  <c r="G133" i="35600"/>
  <c r="J133" i="35600" s="1"/>
  <c r="CU91" i="35569"/>
  <c r="K254" i="35600"/>
  <c r="G254" i="35600"/>
  <c r="J254" i="35600" s="1"/>
  <c r="M254" i="35600"/>
  <c r="L254" i="35600" s="1"/>
  <c r="F372" i="35600"/>
  <c r="F373" i="35600"/>
  <c r="F353" i="35600"/>
  <c r="G353" i="35600" s="1"/>
  <c r="J353" i="35600" s="1"/>
  <c r="F361" i="35600"/>
  <c r="K361" i="35600" s="1"/>
  <c r="K160" i="35600"/>
  <c r="G160" i="35600"/>
  <c r="J160" i="35600" s="1"/>
  <c r="M160" i="35600"/>
  <c r="L160" i="35600" s="1"/>
  <c r="G143" i="35600"/>
  <c r="J143" i="35600" s="1"/>
  <c r="M269" i="35600"/>
  <c r="L269" i="35600" s="1"/>
  <c r="G272" i="35600"/>
  <c r="J272" i="35600" s="1"/>
  <c r="M139" i="35600"/>
  <c r="L139" i="35600" s="1"/>
  <c r="M335" i="35600"/>
  <c r="L335" i="35600" s="1"/>
  <c r="K294" i="35600"/>
  <c r="G236" i="35600"/>
  <c r="J236" i="35600" s="1"/>
  <c r="M150" i="35600"/>
  <c r="L150" i="35600" s="1"/>
  <c r="M293" i="35600"/>
  <c r="L293" i="35600" s="1"/>
  <c r="M303" i="35600"/>
  <c r="L303" i="35600" s="1"/>
  <c r="M337" i="35600"/>
  <c r="L337" i="35600" s="1"/>
  <c r="G286" i="35600"/>
  <c r="J286" i="35600" s="1"/>
  <c r="G349" i="35600"/>
  <c r="J349" i="35600" s="1"/>
  <c r="K297" i="35600"/>
  <c r="K329" i="35600"/>
  <c r="M294" i="35600"/>
  <c r="L294" i="35600" s="1"/>
  <c r="K303" i="35600"/>
  <c r="G337" i="35600"/>
  <c r="J337" i="35600" s="1"/>
  <c r="K342" i="35600"/>
  <c r="K84" i="35600"/>
  <c r="M239" i="35600"/>
  <c r="L239" i="35600" s="1"/>
  <c r="K270" i="35600"/>
  <c r="G139" i="35600"/>
  <c r="J139" i="35600" s="1"/>
  <c r="G298" i="35600"/>
  <c r="J298" i="35600" s="1"/>
  <c r="F65" i="35600"/>
  <c r="K409" i="35600"/>
  <c r="M409" i="35600"/>
  <c r="L409" i="35600" s="1"/>
  <c r="G409" i="35600"/>
  <c r="J409" i="35600" s="1"/>
  <c r="F195" i="35600"/>
  <c r="F215" i="35600"/>
  <c r="F209" i="35600"/>
  <c r="F205" i="35600"/>
  <c r="F201" i="35600"/>
  <c r="F197" i="35600"/>
  <c r="F212" i="35600"/>
  <c r="F208" i="35600"/>
  <c r="F204" i="35600"/>
  <c r="F200" i="35600"/>
  <c r="F196" i="35600"/>
  <c r="D53" i="35600"/>
  <c r="F213" i="35600"/>
  <c r="F211" i="35600"/>
  <c r="F207" i="35600"/>
  <c r="F203" i="35600"/>
  <c r="F199" i="35600"/>
  <c r="F214" i="35600"/>
  <c r="F210" i="35600"/>
  <c r="F206" i="35600"/>
  <c r="F202" i="35600"/>
  <c r="F198" i="35600"/>
  <c r="D420" i="35600"/>
  <c r="U21" i="35572"/>
  <c r="U29" i="35572"/>
  <c r="U37" i="35572"/>
  <c r="U45" i="35572"/>
  <c r="Y45" i="35572" s="1"/>
  <c r="U53" i="35572"/>
  <c r="U61" i="35572"/>
  <c r="U69" i="35572"/>
  <c r="U77" i="35572"/>
  <c r="U85" i="35572"/>
  <c r="U93" i="35572"/>
  <c r="U101" i="35572"/>
  <c r="U109" i="35572"/>
  <c r="Y109" i="35572" s="1"/>
  <c r="U117" i="35572"/>
  <c r="U125" i="35572"/>
  <c r="U133" i="35572"/>
  <c r="U141" i="35572"/>
  <c r="U150" i="35572"/>
  <c r="U158" i="35572"/>
  <c r="U166" i="35572"/>
  <c r="U174" i="35572"/>
  <c r="Y174" i="35572" s="1"/>
  <c r="U182" i="35572"/>
  <c r="U190" i="35572"/>
  <c r="U198" i="35572"/>
  <c r="U206" i="35572"/>
  <c r="U214" i="35572"/>
  <c r="U222" i="35572"/>
  <c r="U230" i="35572"/>
  <c r="U238" i="35572"/>
  <c r="Y238" i="35572" s="1"/>
  <c r="U246" i="35572"/>
  <c r="U254" i="35572"/>
  <c r="U262" i="35572"/>
  <c r="U270" i="35572"/>
  <c r="U278" i="35572"/>
  <c r="U286" i="35572"/>
  <c r="U294" i="35572"/>
  <c r="U302" i="35572"/>
  <c r="Y302" i="35572" s="1"/>
  <c r="U310" i="35572"/>
  <c r="U318" i="35572"/>
  <c r="U326" i="35572"/>
  <c r="U334" i="35572"/>
  <c r="U342" i="35572"/>
  <c r="U350" i="35572"/>
  <c r="U358" i="35572"/>
  <c r="U366" i="35572"/>
  <c r="Y366" i="35572" s="1"/>
  <c r="U374" i="35572"/>
  <c r="U382" i="35572"/>
  <c r="U375" i="35601"/>
  <c r="U367" i="35601"/>
  <c r="U359" i="35601"/>
  <c r="U351" i="35601"/>
  <c r="U343" i="35601"/>
  <c r="U335" i="35601"/>
  <c r="AA335" i="35601" s="1"/>
  <c r="U327" i="35601"/>
  <c r="U319" i="35601"/>
  <c r="U311" i="35601"/>
  <c r="U303" i="35601"/>
  <c r="U295" i="35601"/>
  <c r="U287" i="35601"/>
  <c r="U279" i="35601"/>
  <c r="U271" i="35601"/>
  <c r="AA271" i="35601" s="1"/>
  <c r="U263" i="35601"/>
  <c r="U255" i="35601"/>
  <c r="U24" i="35601"/>
  <c r="U32" i="35601"/>
  <c r="U40" i="35601"/>
  <c r="U48" i="35601"/>
  <c r="U56" i="35601"/>
  <c r="U64" i="35601"/>
  <c r="AA64" i="35601" s="1"/>
  <c r="U72" i="35601"/>
  <c r="U80" i="35601"/>
  <c r="U88" i="35601"/>
  <c r="U96" i="35601"/>
  <c r="U104" i="35601"/>
  <c r="U112" i="35601"/>
  <c r="U120" i="35601"/>
  <c r="U128" i="35601"/>
  <c r="AA128" i="35601" s="1"/>
  <c r="U136" i="35601"/>
  <c r="U144" i="35601"/>
  <c r="U152" i="35601"/>
  <c r="U160" i="35601"/>
  <c r="U168" i="35601"/>
  <c r="U176" i="35601"/>
  <c r="U184" i="35601"/>
  <c r="U22" i="35572"/>
  <c r="Y22" i="35572" s="1"/>
  <c r="U30" i="35572"/>
  <c r="U38" i="35572"/>
  <c r="U46" i="35572"/>
  <c r="U54" i="35572"/>
  <c r="U62" i="35572"/>
  <c r="U70" i="35572"/>
  <c r="U78" i="35572"/>
  <c r="U86" i="35572"/>
  <c r="Y86" i="35572" s="1"/>
  <c r="U94" i="35572"/>
  <c r="U102" i="35572"/>
  <c r="U110" i="35572"/>
  <c r="U118" i="35572"/>
  <c r="U126" i="35572"/>
  <c r="U134" i="35572"/>
  <c r="U142" i="35572"/>
  <c r="U149" i="35572"/>
  <c r="Y149" i="35572" s="1"/>
  <c r="U157" i="35572"/>
  <c r="U165" i="35572"/>
  <c r="U173" i="35572"/>
  <c r="U181" i="35572"/>
  <c r="U189" i="35572"/>
  <c r="U197" i="35572"/>
  <c r="U205" i="35572"/>
  <c r="U213" i="35572"/>
  <c r="Y213" i="35572" s="1"/>
  <c r="U221" i="35572"/>
  <c r="U229" i="35572"/>
  <c r="U237" i="35572"/>
  <c r="U245" i="35572"/>
  <c r="U253" i="35572"/>
  <c r="U261" i="35572"/>
  <c r="U269" i="35572"/>
  <c r="U277" i="35572"/>
  <c r="Y277" i="35572" s="1"/>
  <c r="U285" i="35572"/>
  <c r="U293" i="35572"/>
  <c r="U301" i="35572"/>
  <c r="U309" i="35572"/>
  <c r="U317" i="35572"/>
  <c r="U325" i="35572"/>
  <c r="U333" i="35572"/>
  <c r="U341" i="35572"/>
  <c r="Y341" i="35572" s="1"/>
  <c r="U349" i="35572"/>
  <c r="U357" i="35572"/>
  <c r="U365" i="35572"/>
  <c r="U373" i="35572"/>
  <c r="U381" i="35572"/>
  <c r="U376" i="35601"/>
  <c r="U368" i="35601"/>
  <c r="U360" i="35601"/>
  <c r="AA360" i="35601" s="1"/>
  <c r="U352" i="35601"/>
  <c r="U344" i="35601"/>
  <c r="U336" i="35601"/>
  <c r="U328" i="35601"/>
  <c r="U320" i="35601"/>
  <c r="U312" i="35601"/>
  <c r="U304" i="35601"/>
  <c r="U296" i="35601"/>
  <c r="AA296" i="35601" s="1"/>
  <c r="U288" i="35601"/>
  <c r="U280" i="35601"/>
  <c r="U272" i="35601"/>
  <c r="U264" i="35601"/>
  <c r="U256" i="35601"/>
  <c r="U25" i="35601"/>
  <c r="U37" i="35601"/>
  <c r="U53" i="35601"/>
  <c r="AA53" i="35601" s="1"/>
  <c r="U69" i="35601"/>
  <c r="U85" i="35601"/>
  <c r="U101" i="35601"/>
  <c r="U117" i="35601"/>
  <c r="U133" i="35601"/>
  <c r="U149" i="35601"/>
  <c r="U171" i="35601"/>
  <c r="U195" i="35601"/>
  <c r="AA195" i="35601" s="1"/>
  <c r="U211" i="35601"/>
  <c r="U227" i="35601"/>
  <c r="U243" i="35601"/>
  <c r="U169" i="35601"/>
  <c r="U194" i="35601"/>
  <c r="U210" i="35601"/>
  <c r="U226" i="35601"/>
  <c r="U242" i="35601"/>
  <c r="AA242" i="35601" s="1"/>
  <c r="U18" i="35572"/>
  <c r="U27" i="35572"/>
  <c r="U35" i="35572"/>
  <c r="U43" i="35572"/>
  <c r="U51" i="35572"/>
  <c r="U59" i="35572"/>
  <c r="U67" i="35572"/>
  <c r="U75" i="35572"/>
  <c r="Y75" i="35572" s="1"/>
  <c r="U83" i="35572"/>
  <c r="U91" i="35572"/>
  <c r="U99" i="35572"/>
  <c r="U107" i="35572"/>
  <c r="U115" i="35572"/>
  <c r="U123" i="35572"/>
  <c r="U131" i="35572"/>
  <c r="U139" i="35572"/>
  <c r="Y139" i="35572" s="1"/>
  <c r="U148" i="35572"/>
  <c r="U156" i="35572"/>
  <c r="U164" i="35572"/>
  <c r="U172" i="35572"/>
  <c r="U180" i="35572"/>
  <c r="U188" i="35572"/>
  <c r="U196" i="35572"/>
  <c r="U204" i="35572"/>
  <c r="Y204" i="35572" s="1"/>
  <c r="U212" i="35572"/>
  <c r="U220" i="35572"/>
  <c r="U228" i="35572"/>
  <c r="U236" i="35572"/>
  <c r="U244" i="35572"/>
  <c r="U252" i="35572"/>
  <c r="U260" i="35572"/>
  <c r="U268" i="35572"/>
  <c r="Y268" i="35572" s="1"/>
  <c r="U276" i="35572"/>
  <c r="U284" i="35572"/>
  <c r="U292" i="35572"/>
  <c r="U300" i="35572"/>
  <c r="U308" i="35572"/>
  <c r="U316" i="35572"/>
  <c r="U324" i="35572"/>
  <c r="U332" i="35572"/>
  <c r="Y332" i="35572" s="1"/>
  <c r="U340" i="35572"/>
  <c r="U348" i="35572"/>
  <c r="U356" i="35572"/>
  <c r="U364" i="35572"/>
  <c r="U372" i="35572"/>
  <c r="U380" i="35572"/>
  <c r="U377" i="35601"/>
  <c r="U369" i="35601"/>
  <c r="AA369" i="35601" s="1"/>
  <c r="U361" i="35601"/>
  <c r="U353" i="35601"/>
  <c r="U345" i="35601"/>
  <c r="U337" i="35601"/>
  <c r="U329" i="35601"/>
  <c r="U321" i="35601"/>
  <c r="U313" i="35601"/>
  <c r="U305" i="35601"/>
  <c r="AA305" i="35601" s="1"/>
  <c r="U297" i="35601"/>
  <c r="U289" i="35601"/>
  <c r="U281" i="35601"/>
  <c r="U273" i="35601"/>
  <c r="U265" i="35601"/>
  <c r="U257" i="35601"/>
  <c r="U22" i="35601"/>
  <c r="U30" i="35601"/>
  <c r="AA30" i="35601" s="1"/>
  <c r="U38" i="35601"/>
  <c r="U46" i="35601"/>
  <c r="U54" i="35601"/>
  <c r="U62" i="35601"/>
  <c r="U70" i="35601"/>
  <c r="U78" i="35601"/>
  <c r="U86" i="35601"/>
  <c r="U94" i="35601"/>
  <c r="AA94" i="35601" s="1"/>
  <c r="U102" i="35601"/>
  <c r="U110" i="35601"/>
  <c r="U118" i="35601"/>
  <c r="U126" i="35601"/>
  <c r="U134" i="35601"/>
  <c r="U142" i="35601"/>
  <c r="U25" i="35572"/>
  <c r="U33" i="35572"/>
  <c r="Y33" i="35572" s="1"/>
  <c r="U41" i="35572"/>
  <c r="U49" i="35572"/>
  <c r="U57" i="35572"/>
  <c r="U65" i="35572"/>
  <c r="U73" i="35572"/>
  <c r="U81" i="35572"/>
  <c r="U89" i="35572"/>
  <c r="U97" i="35572"/>
  <c r="Y97" i="35572" s="1"/>
  <c r="U105" i="35572"/>
  <c r="U113" i="35572"/>
  <c r="U121" i="35572"/>
  <c r="U129" i="35572"/>
  <c r="U137" i="35572"/>
  <c r="U146" i="35572"/>
  <c r="U154" i="35572"/>
  <c r="U162" i="35572"/>
  <c r="Y162" i="35572" s="1"/>
  <c r="U170" i="35572"/>
  <c r="U178" i="35572"/>
  <c r="U186" i="35572"/>
  <c r="U194" i="35572"/>
  <c r="U202" i="35572"/>
  <c r="U210" i="35572"/>
  <c r="U218" i="35572"/>
  <c r="U226" i="35572"/>
  <c r="Y226" i="35572" s="1"/>
  <c r="U234" i="35572"/>
  <c r="U242" i="35572"/>
  <c r="U250" i="35572"/>
  <c r="U258" i="35572"/>
  <c r="U266" i="35572"/>
  <c r="U274" i="35572"/>
  <c r="U282" i="35572"/>
  <c r="U290" i="35572"/>
  <c r="Y290" i="35572" s="1"/>
  <c r="U298" i="35572"/>
  <c r="U306" i="35572"/>
  <c r="U314" i="35572"/>
  <c r="U322" i="35572"/>
  <c r="U330" i="35572"/>
  <c r="U338" i="35572"/>
  <c r="U346" i="35572"/>
  <c r="U354" i="35572"/>
  <c r="Y354" i="35572" s="1"/>
  <c r="U362" i="35572"/>
  <c r="U370" i="35572"/>
  <c r="U378" i="35572"/>
  <c r="U379" i="35601"/>
  <c r="U371" i="35601"/>
  <c r="U363" i="35601"/>
  <c r="U355" i="35601"/>
  <c r="U347" i="35601"/>
  <c r="AA347" i="35601" s="1"/>
  <c r="U339" i="35601"/>
  <c r="U331" i="35601"/>
  <c r="U323" i="35601"/>
  <c r="U315" i="35601"/>
  <c r="U307" i="35601"/>
  <c r="U299" i="35601"/>
  <c r="U291" i="35601"/>
  <c r="U283" i="35601"/>
  <c r="AA283" i="35601" s="1"/>
  <c r="U275" i="35601"/>
  <c r="U267" i="35601"/>
  <c r="U259" i="35601"/>
  <c r="U20" i="35601"/>
  <c r="V97" i="35601" s="1"/>
  <c r="U28" i="35601"/>
  <c r="U36" i="35601"/>
  <c r="U44" i="35601"/>
  <c r="U52" i="35601"/>
  <c r="AA52" i="35601" s="1"/>
  <c r="U60" i="35601"/>
  <c r="U68" i="35601"/>
  <c r="U76" i="35601"/>
  <c r="U84" i="35601"/>
  <c r="U92" i="35601"/>
  <c r="U100" i="35601"/>
  <c r="U108" i="35601"/>
  <c r="U116" i="35601"/>
  <c r="AA116" i="35601" s="1"/>
  <c r="U124" i="35601"/>
  <c r="U132" i="35601"/>
  <c r="U140" i="35601"/>
  <c r="U148" i="35601"/>
  <c r="U156" i="35601"/>
  <c r="U164" i="35601"/>
  <c r="U172" i="35601"/>
  <c r="U180" i="35601"/>
  <c r="AA180" i="35601" s="1"/>
  <c r="U19" i="35572"/>
  <c r="U26" i="35572"/>
  <c r="U34" i="35572"/>
  <c r="U42" i="35572"/>
  <c r="U50" i="35572"/>
  <c r="U58" i="35572"/>
  <c r="U66" i="35572"/>
  <c r="U74" i="35572"/>
  <c r="Y74" i="35572" s="1"/>
  <c r="U82" i="35572"/>
  <c r="U90" i="35572"/>
  <c r="U98" i="35572"/>
  <c r="U106" i="35572"/>
  <c r="U114" i="35572"/>
  <c r="U122" i="35572"/>
  <c r="U130" i="35572"/>
  <c r="U138" i="35572"/>
  <c r="Y138" i="35572" s="1"/>
  <c r="U145" i="35572"/>
  <c r="U153" i="35572"/>
  <c r="U161" i="35572"/>
  <c r="U169" i="35572"/>
  <c r="U177" i="35572"/>
  <c r="U185" i="35572"/>
  <c r="U193" i="35572"/>
  <c r="U201" i="35572"/>
  <c r="Y201" i="35572" s="1"/>
  <c r="U209" i="35572"/>
  <c r="U217" i="35572"/>
  <c r="U225" i="35572"/>
  <c r="U233" i="35572"/>
  <c r="U241" i="35572"/>
  <c r="U249" i="35572"/>
  <c r="U257" i="35572"/>
  <c r="U265" i="35572"/>
  <c r="Y265" i="35572" s="1"/>
  <c r="U273" i="35572"/>
  <c r="U281" i="35572"/>
  <c r="U289" i="35572"/>
  <c r="U297" i="35572"/>
  <c r="U305" i="35572"/>
  <c r="U313" i="35572"/>
  <c r="U321" i="35572"/>
  <c r="U329" i="35572"/>
  <c r="Y329" i="35572" s="1"/>
  <c r="U337" i="35572"/>
  <c r="U345" i="35572"/>
  <c r="U353" i="35572"/>
  <c r="U361" i="35572"/>
  <c r="U369" i="35572"/>
  <c r="U377" i="35572"/>
  <c r="U380" i="35601"/>
  <c r="U372" i="35601"/>
  <c r="AA372" i="35601" s="1"/>
  <c r="U364" i="35601"/>
  <c r="U356" i="35601"/>
  <c r="U348" i="35601"/>
  <c r="U340" i="35601"/>
  <c r="U332" i="35601"/>
  <c r="U324" i="35601"/>
  <c r="U316" i="35601"/>
  <c r="U308" i="35601"/>
  <c r="AA308" i="35601" s="1"/>
  <c r="U300" i="35601"/>
  <c r="U292" i="35601"/>
  <c r="U284" i="35601"/>
  <c r="U276" i="35601"/>
  <c r="U268" i="35601"/>
  <c r="U260" i="35601"/>
  <c r="U21" i="35601"/>
  <c r="W21" i="35601" s="1"/>
  <c r="U29" i="35601"/>
  <c r="AA29" i="35601" s="1"/>
  <c r="U45" i="35601"/>
  <c r="U61" i="35601"/>
  <c r="U77" i="35601"/>
  <c r="U93" i="35601"/>
  <c r="U109" i="35601"/>
  <c r="U125" i="35601"/>
  <c r="U141" i="35601"/>
  <c r="U157" i="35601"/>
  <c r="AA157" i="35601" s="1"/>
  <c r="U187" i="35601"/>
  <c r="U203" i="35601"/>
  <c r="U219" i="35601"/>
  <c r="U235" i="35601"/>
  <c r="U251" i="35601"/>
  <c r="U185" i="35601"/>
  <c r="U202" i="35601"/>
  <c r="U218" i="35601"/>
  <c r="AA218" i="35601" s="1"/>
  <c r="U234" i="35601"/>
  <c r="U250" i="35601"/>
  <c r="U23" i="35572"/>
  <c r="U31" i="35572"/>
  <c r="U39" i="35572"/>
  <c r="U47" i="35572"/>
  <c r="U55" i="35572"/>
  <c r="U63" i="35572"/>
  <c r="Y63" i="35572" s="1"/>
  <c r="U71" i="35572"/>
  <c r="U79" i="35572"/>
  <c r="U87" i="35572"/>
  <c r="U95" i="35572"/>
  <c r="U103" i="35572"/>
  <c r="U111" i="35572"/>
  <c r="U119" i="35572"/>
  <c r="U127" i="35572"/>
  <c r="Y127" i="35572" s="1"/>
  <c r="U135" i="35572"/>
  <c r="U144" i="35572"/>
  <c r="U152" i="35572"/>
  <c r="U160" i="35572"/>
  <c r="U168" i="35572"/>
  <c r="U176" i="35572"/>
  <c r="U184" i="35572"/>
  <c r="U192" i="35572"/>
  <c r="Y192" i="35572" s="1"/>
  <c r="U200" i="35572"/>
  <c r="U208" i="35572"/>
  <c r="U216" i="35572"/>
  <c r="U224" i="35572"/>
  <c r="U232" i="35572"/>
  <c r="U240" i="35572"/>
  <c r="U248" i="35572"/>
  <c r="U256" i="35572"/>
  <c r="Y256" i="35572" s="1"/>
  <c r="U264" i="35572"/>
  <c r="U272" i="35572"/>
  <c r="U280" i="35572"/>
  <c r="U288" i="35572"/>
  <c r="U296" i="35572"/>
  <c r="U304" i="35572"/>
  <c r="U312" i="35572"/>
  <c r="U320" i="35572"/>
  <c r="Y320" i="35572" s="1"/>
  <c r="U328" i="35572"/>
  <c r="U336" i="35572"/>
  <c r="U344" i="35572"/>
  <c r="U352" i="35572"/>
  <c r="U360" i="35572"/>
  <c r="U368" i="35572"/>
  <c r="U376" i="35572"/>
  <c r="U381" i="35601"/>
  <c r="AA381" i="35601" s="1"/>
  <c r="U373" i="35601"/>
  <c r="U365" i="35601"/>
  <c r="U357" i="35601"/>
  <c r="U349" i="35601"/>
  <c r="U341" i="35601"/>
  <c r="U333" i="35601"/>
  <c r="U325" i="35601"/>
  <c r="U317" i="35601"/>
  <c r="AA317" i="35601" s="1"/>
  <c r="U309" i="35601"/>
  <c r="U301" i="35601"/>
  <c r="U293" i="35601"/>
  <c r="U285" i="35601"/>
  <c r="U277" i="35601"/>
  <c r="U269" i="35601"/>
  <c r="U261" i="35601"/>
  <c r="U19" i="35601"/>
  <c r="W110" i="35601" s="1"/>
  <c r="U26" i="35601"/>
  <c r="U34" i="35601"/>
  <c r="U42" i="35601"/>
  <c r="U50" i="35601"/>
  <c r="U58" i="35601"/>
  <c r="U66" i="35601"/>
  <c r="U74" i="35601"/>
  <c r="U82" i="35601"/>
  <c r="AA82" i="35601" s="1"/>
  <c r="U90" i="35601"/>
  <c r="U98" i="35601"/>
  <c r="U106" i="35601"/>
  <c r="U114" i="35601"/>
  <c r="U122" i="35601"/>
  <c r="U130" i="35601"/>
  <c r="U138" i="35601"/>
  <c r="U150" i="35601"/>
  <c r="AA150" i="35601" s="1"/>
  <c r="U158" i="35601"/>
  <c r="U166" i="35601"/>
  <c r="U174" i="35601"/>
  <c r="U182" i="35601"/>
  <c r="U20" i="35572"/>
  <c r="U28" i="35572"/>
  <c r="U36" i="35572"/>
  <c r="U44" i="35572"/>
  <c r="Y44" i="35572" s="1"/>
  <c r="U52" i="35572"/>
  <c r="U60" i="35572"/>
  <c r="U68" i="35572"/>
  <c r="U76" i="35572"/>
  <c r="U84" i="35572"/>
  <c r="U92" i="35572"/>
  <c r="U100" i="35572"/>
  <c r="U108" i="35572"/>
  <c r="Y108" i="35572" s="1"/>
  <c r="U116" i="35572"/>
  <c r="U124" i="35572"/>
  <c r="U132" i="35572"/>
  <c r="U140" i="35572"/>
  <c r="U147" i="35572"/>
  <c r="U155" i="35572"/>
  <c r="U163" i="35572"/>
  <c r="U171" i="35572"/>
  <c r="Y171" i="35572" s="1"/>
  <c r="U179" i="35572"/>
  <c r="U187" i="35572"/>
  <c r="U195" i="35572"/>
  <c r="U203" i="35572"/>
  <c r="U211" i="35572"/>
  <c r="U219" i="35572"/>
  <c r="U227" i="35572"/>
  <c r="U235" i="35572"/>
  <c r="Y235" i="35572" s="1"/>
  <c r="U243" i="35572"/>
  <c r="U251" i="35572"/>
  <c r="U259" i="35572"/>
  <c r="U267" i="35572"/>
  <c r="U275" i="35572"/>
  <c r="U283" i="35572"/>
  <c r="U291" i="35572"/>
  <c r="U299" i="35572"/>
  <c r="Y299" i="35572" s="1"/>
  <c r="U307" i="35572"/>
  <c r="U315" i="35572"/>
  <c r="U323" i="35572"/>
  <c r="U331" i="35572"/>
  <c r="U339" i="35572"/>
  <c r="U347" i="35572"/>
  <c r="U355" i="35572"/>
  <c r="U363" i="35572"/>
  <c r="Y363" i="35572" s="1"/>
  <c r="U371" i="35572"/>
  <c r="U379" i="35572"/>
  <c r="U378" i="35601"/>
  <c r="U370" i="35601"/>
  <c r="U362" i="35601"/>
  <c r="U354" i="35601"/>
  <c r="U346" i="35601"/>
  <c r="U338" i="35601"/>
  <c r="AA338" i="35601" s="1"/>
  <c r="U330" i="35601"/>
  <c r="U322" i="35601"/>
  <c r="U314" i="35601"/>
  <c r="U306" i="35601"/>
  <c r="U298" i="35601"/>
  <c r="U290" i="35601"/>
  <c r="U282" i="35601"/>
  <c r="U274" i="35601"/>
  <c r="AA274" i="35601" s="1"/>
  <c r="U266" i="35601"/>
  <c r="U258" i="35601"/>
  <c r="U23" i="35601"/>
  <c r="U31" i="35601"/>
  <c r="U39" i="35601"/>
  <c r="U47" i="35601"/>
  <c r="U55" i="35601"/>
  <c r="U63" i="35601"/>
  <c r="AA63" i="35601" s="1"/>
  <c r="U71" i="35601"/>
  <c r="U79" i="35601"/>
  <c r="U87" i="35601"/>
  <c r="U95" i="35601"/>
  <c r="U103" i="35601"/>
  <c r="U111" i="35601"/>
  <c r="U119" i="35601"/>
  <c r="U127" i="35601"/>
  <c r="AA127" i="35601" s="1"/>
  <c r="U135" i="35601"/>
  <c r="U143" i="35601"/>
  <c r="U151" i="35601"/>
  <c r="U159" i="35601"/>
  <c r="U175" i="35601"/>
  <c r="U189" i="35601"/>
  <c r="U197" i="35601"/>
  <c r="U205" i="35601"/>
  <c r="AA205" i="35601" s="1"/>
  <c r="U213" i="35601"/>
  <c r="U221" i="35601"/>
  <c r="U229" i="35601"/>
  <c r="U237" i="35601"/>
  <c r="U245" i="35601"/>
  <c r="U253" i="35601"/>
  <c r="U173" i="35601"/>
  <c r="U188" i="35601"/>
  <c r="AA188" i="35601" s="1"/>
  <c r="U196" i="35601"/>
  <c r="U204" i="35601"/>
  <c r="U212" i="35601"/>
  <c r="U220" i="35601"/>
  <c r="U228" i="35601"/>
  <c r="U236" i="35601"/>
  <c r="U244" i="35601"/>
  <c r="U252" i="35601"/>
  <c r="AA252" i="35601" s="1"/>
  <c r="U41" i="35601"/>
  <c r="U57" i="35601"/>
  <c r="U73" i="35601"/>
  <c r="U89" i="35601"/>
  <c r="U105" i="35601"/>
  <c r="U121" i="35601"/>
  <c r="U137" i="35601"/>
  <c r="U153" i="35601"/>
  <c r="AA153" i="35601" s="1"/>
  <c r="U179" i="35601"/>
  <c r="U199" i="35601"/>
  <c r="U215" i="35601"/>
  <c r="U231" i="35601"/>
  <c r="U247" i="35601"/>
  <c r="U177" i="35601"/>
  <c r="U198" i="35601"/>
  <c r="U214" i="35601"/>
  <c r="AA214" i="35601" s="1"/>
  <c r="U230" i="35601"/>
  <c r="U246" i="35601"/>
  <c r="U146" i="35601"/>
  <c r="U154" i="35601"/>
  <c r="U162" i="35601"/>
  <c r="U170" i="35601"/>
  <c r="U178" i="35601"/>
  <c r="U186" i="35601"/>
  <c r="AA186" i="35601" s="1"/>
  <c r="U24" i="35572"/>
  <c r="U32" i="35572"/>
  <c r="U40" i="35572"/>
  <c r="U48" i="35572"/>
  <c r="U56" i="35572"/>
  <c r="U64" i="35572"/>
  <c r="U72" i="35572"/>
  <c r="U80" i="35572"/>
  <c r="Y80" i="35572" s="1"/>
  <c r="U88" i="35572"/>
  <c r="U96" i="35572"/>
  <c r="U104" i="35572"/>
  <c r="U112" i="35572"/>
  <c r="U120" i="35572"/>
  <c r="U128" i="35572"/>
  <c r="U136" i="35572"/>
  <c r="U143" i="35572"/>
  <c r="Y143" i="35572" s="1"/>
  <c r="U151" i="35572"/>
  <c r="U159" i="35572"/>
  <c r="U167" i="35572"/>
  <c r="U175" i="35572"/>
  <c r="U183" i="35572"/>
  <c r="U191" i="35572"/>
  <c r="U199" i="35572"/>
  <c r="U207" i="35572"/>
  <c r="Y207" i="35572" s="1"/>
  <c r="U215" i="35572"/>
  <c r="U223" i="35572"/>
  <c r="U231" i="35572"/>
  <c r="U239" i="35572"/>
  <c r="U247" i="35572"/>
  <c r="U255" i="35572"/>
  <c r="U263" i="35572"/>
  <c r="U271" i="35572"/>
  <c r="Y271" i="35572" s="1"/>
  <c r="U279" i="35572"/>
  <c r="U287" i="35572"/>
  <c r="U295" i="35572"/>
  <c r="U303" i="35572"/>
  <c r="U311" i="35572"/>
  <c r="U319" i="35572"/>
  <c r="U327" i="35572"/>
  <c r="U335" i="35572"/>
  <c r="Y335" i="35572" s="1"/>
  <c r="U343" i="35572"/>
  <c r="U351" i="35572"/>
  <c r="U359" i="35572"/>
  <c r="U367" i="35572"/>
  <c r="U375" i="35572"/>
  <c r="U382" i="35601"/>
  <c r="U374" i="35601"/>
  <c r="U366" i="35601"/>
  <c r="AA366" i="35601" s="1"/>
  <c r="U358" i="35601"/>
  <c r="U350" i="35601"/>
  <c r="U342" i="35601"/>
  <c r="U334" i="35601"/>
  <c r="U326" i="35601"/>
  <c r="U318" i="35601"/>
  <c r="U310" i="35601"/>
  <c r="U302" i="35601"/>
  <c r="AA302" i="35601" s="1"/>
  <c r="U294" i="35601"/>
  <c r="U286" i="35601"/>
  <c r="U278" i="35601"/>
  <c r="U270" i="35601"/>
  <c r="U262" i="35601"/>
  <c r="U18" i="35601"/>
  <c r="W176" i="35601" s="1"/>
  <c r="U27" i="35601"/>
  <c r="U35" i="35601"/>
  <c r="U43" i="35601"/>
  <c r="U51" i="35601"/>
  <c r="U59" i="35601"/>
  <c r="U67" i="35601"/>
  <c r="U75" i="35601"/>
  <c r="U83" i="35601"/>
  <c r="U91" i="35601"/>
  <c r="U99" i="35601"/>
  <c r="AA99" i="35601" s="1"/>
  <c r="U107" i="35601"/>
  <c r="U115" i="35601"/>
  <c r="U123" i="35601"/>
  <c r="U131" i="35601"/>
  <c r="U139" i="35601"/>
  <c r="U147" i="35601"/>
  <c r="U155" i="35601"/>
  <c r="U167" i="35601"/>
  <c r="AA167" i="35601" s="1"/>
  <c r="U183" i="35601"/>
  <c r="U193" i="35601"/>
  <c r="U201" i="35601"/>
  <c r="U209" i="35601"/>
  <c r="U217" i="35601"/>
  <c r="U225" i="35601"/>
  <c r="U233" i="35601"/>
  <c r="U241" i="35601"/>
  <c r="AA241" i="35601" s="1"/>
  <c r="U249" i="35601"/>
  <c r="U165" i="35601"/>
  <c r="U181" i="35601"/>
  <c r="U192" i="35601"/>
  <c r="U200" i="35601"/>
  <c r="U208" i="35601"/>
  <c r="U216" i="35601"/>
  <c r="U224" i="35601"/>
  <c r="AA224" i="35601" s="1"/>
  <c r="U232" i="35601"/>
  <c r="U240" i="35601"/>
  <c r="U248" i="35601"/>
  <c r="U33" i="35601"/>
  <c r="U49" i="35601"/>
  <c r="V53" i="35601" s="1"/>
  <c r="U65" i="35601"/>
  <c r="U81" i="35601"/>
  <c r="U97" i="35601"/>
  <c r="AA97" i="35601" s="1"/>
  <c r="U113" i="35601"/>
  <c r="U129" i="35601"/>
  <c r="U145" i="35601"/>
  <c r="U163" i="35601"/>
  <c r="U191" i="35601"/>
  <c r="U207" i="35601"/>
  <c r="U223" i="35601"/>
  <c r="U239" i="35601"/>
  <c r="AA239" i="35601" s="1"/>
  <c r="U161" i="35601"/>
  <c r="U190" i="35601"/>
  <c r="U206" i="35601"/>
  <c r="U222" i="35601"/>
  <c r="U238" i="35601"/>
  <c r="U254" i="35601"/>
  <c r="AB205" i="35601"/>
  <c r="AB157" i="35601"/>
  <c r="AB125" i="35601"/>
  <c r="AB93" i="35601"/>
  <c r="AB61" i="35601"/>
  <c r="AB29" i="35601"/>
  <c r="AB189" i="35601"/>
  <c r="AB149" i="35601"/>
  <c r="AB117" i="35601"/>
  <c r="AB85" i="35601"/>
  <c r="AB53" i="35601"/>
  <c r="AB21" i="35601"/>
  <c r="AB213" i="35601"/>
  <c r="AB49" i="35601"/>
  <c r="AB81" i="35601"/>
  <c r="AB113" i="35601"/>
  <c r="AB145" i="35601"/>
  <c r="AB177" i="35601"/>
  <c r="AB209" i="35601"/>
  <c r="W195" i="35601"/>
  <c r="AB35" i="35601"/>
  <c r="AB51" i="35601"/>
  <c r="AB67" i="35601"/>
  <c r="AB83" i="35601"/>
  <c r="AB99" i="35601"/>
  <c r="AB115" i="35601"/>
  <c r="AB131" i="35601"/>
  <c r="AB147" i="35601"/>
  <c r="AB163" i="35601"/>
  <c r="AB179" i="35601"/>
  <c r="AB195" i="35601"/>
  <c r="AB211" i="35601"/>
  <c r="AB227" i="35601"/>
  <c r="AB22" i="35601"/>
  <c r="AB38" i="35601"/>
  <c r="AB54" i="35601"/>
  <c r="AB70" i="35601"/>
  <c r="AB86" i="35601"/>
  <c r="AB102" i="35601"/>
  <c r="AB118" i="35601"/>
  <c r="AB134" i="35601"/>
  <c r="AB150" i="35601"/>
  <c r="AB166" i="35601"/>
  <c r="AB182" i="35601"/>
  <c r="AB198" i="35601"/>
  <c r="AB214" i="35601"/>
  <c r="AB230" i="35601"/>
  <c r="AB241" i="35601"/>
  <c r="AB249" i="35601"/>
  <c r="AB229" i="35601"/>
  <c r="AB41" i="35601"/>
  <c r="AB73" i="35601"/>
  <c r="AB105" i="35601"/>
  <c r="AB137" i="35601"/>
  <c r="AB169" i="35601"/>
  <c r="AB201" i="35601"/>
  <c r="AB233" i="35601"/>
  <c r="AB31" i="35601"/>
  <c r="AB47" i="35601"/>
  <c r="AB63" i="35601"/>
  <c r="AB79" i="35601"/>
  <c r="AB95" i="35601"/>
  <c r="AB111" i="35601"/>
  <c r="AB127" i="35601"/>
  <c r="AB143" i="35601"/>
  <c r="AB159" i="35601"/>
  <c r="AB175" i="35601"/>
  <c r="AB191" i="35601"/>
  <c r="AB207" i="35601"/>
  <c r="AB223" i="35601"/>
  <c r="AB382" i="35601"/>
  <c r="AB34" i="35601"/>
  <c r="AB50" i="35601"/>
  <c r="AB66" i="35601"/>
  <c r="AB82" i="35601"/>
  <c r="AB98" i="35601"/>
  <c r="AB114" i="35601"/>
  <c r="AB130" i="35601"/>
  <c r="AB146" i="35601"/>
  <c r="AB162" i="35601"/>
  <c r="AB178" i="35601"/>
  <c r="AB194" i="35601"/>
  <c r="AB210" i="35601"/>
  <c r="AB234" i="35601"/>
  <c r="AB251" i="35601"/>
  <c r="AB259" i="35601"/>
  <c r="AB267" i="35601"/>
  <c r="AB275" i="35601"/>
  <c r="AB283" i="35601"/>
  <c r="AB291" i="35601"/>
  <c r="AB299" i="35601"/>
  <c r="AB307" i="35601"/>
  <c r="AB315" i="35601"/>
  <c r="AB323" i="35601"/>
  <c r="AB331" i="35601"/>
  <c r="AB339" i="35601"/>
  <c r="AB347" i="35601"/>
  <c r="AB355" i="35601"/>
  <c r="AB363" i="35601"/>
  <c r="AB371" i="35601"/>
  <c r="AB379" i="35601"/>
  <c r="W378" i="35601"/>
  <c r="W370" i="35601"/>
  <c r="W362" i="35601"/>
  <c r="W354" i="35601"/>
  <c r="W346" i="35601"/>
  <c r="W338" i="35601"/>
  <c r="W330" i="35601"/>
  <c r="W322" i="35601"/>
  <c r="W314" i="35601"/>
  <c r="W306" i="35601"/>
  <c r="W298" i="35601"/>
  <c r="W290" i="35601"/>
  <c r="W282" i="35601"/>
  <c r="W274" i="35601"/>
  <c r="W265" i="35601"/>
  <c r="W257" i="35601"/>
  <c r="W249" i="35601"/>
  <c r="W241" i="35601"/>
  <c r="W233" i="35601"/>
  <c r="W225" i="35601"/>
  <c r="W217" i="35601"/>
  <c r="W209" i="35601"/>
  <c r="W200" i="35601"/>
  <c r="W191" i="35601"/>
  <c r="W182" i="35601"/>
  <c r="W174" i="35601"/>
  <c r="AB20" i="35601"/>
  <c r="AB36" i="35601"/>
  <c r="AB52" i="35601"/>
  <c r="AB68" i="35601"/>
  <c r="AB84" i="35601"/>
  <c r="AB100" i="35601"/>
  <c r="AB116" i="35601"/>
  <c r="AB132" i="35601"/>
  <c r="AB148" i="35601"/>
  <c r="AB164" i="35601"/>
  <c r="AB180" i="35601"/>
  <c r="AB196" i="35601"/>
  <c r="AB212" i="35601"/>
  <c r="AB228" i="35601"/>
  <c r="AB240" i="35601"/>
  <c r="AB248" i="35601"/>
  <c r="AB256" i="35601"/>
  <c r="AB264" i="35601"/>
  <c r="AB272" i="35601"/>
  <c r="AB280" i="35601"/>
  <c r="AB288" i="35601"/>
  <c r="AB296" i="35601"/>
  <c r="AB304" i="35601"/>
  <c r="AB312" i="35601"/>
  <c r="AB320" i="35601"/>
  <c r="AB328" i="35601"/>
  <c r="AB336" i="35601"/>
  <c r="AB344" i="35601"/>
  <c r="AB352" i="35601"/>
  <c r="AB360" i="35601"/>
  <c r="AB368" i="35601"/>
  <c r="AB376" i="35601"/>
  <c r="W381" i="35601"/>
  <c r="W373" i="35601"/>
  <c r="W365" i="35601"/>
  <c r="W357" i="35601"/>
  <c r="W349" i="35601"/>
  <c r="W341" i="35601"/>
  <c r="W333" i="35601"/>
  <c r="W325" i="35601"/>
  <c r="W317" i="35601"/>
  <c r="W309" i="35601"/>
  <c r="W301" i="35601"/>
  <c r="W293" i="35601"/>
  <c r="W285" i="35601"/>
  <c r="W277" i="35601"/>
  <c r="W269" i="35601"/>
  <c r="W260" i="35601"/>
  <c r="W252" i="35601"/>
  <c r="W244" i="35601"/>
  <c r="W236" i="35601"/>
  <c r="W228" i="35601"/>
  <c r="W220" i="35601"/>
  <c r="W212" i="35601"/>
  <c r="W203" i="35601"/>
  <c r="W194" i="35601"/>
  <c r="W177" i="35601"/>
  <c r="W169" i="35601"/>
  <c r="W159" i="35601"/>
  <c r="W150" i="35601"/>
  <c r="W142" i="35601"/>
  <c r="W134" i="35601"/>
  <c r="W126" i="35601"/>
  <c r="W118" i="35601"/>
  <c r="W101" i="35601"/>
  <c r="W93" i="35601"/>
  <c r="W85" i="35601"/>
  <c r="W77" i="35601"/>
  <c r="W69" i="35601"/>
  <c r="W61" i="35601"/>
  <c r="W53" i="35601"/>
  <c r="W44" i="35601"/>
  <c r="W36" i="35601"/>
  <c r="W28" i="35601"/>
  <c r="W162" i="35601"/>
  <c r="W154" i="35601"/>
  <c r="W145" i="35601"/>
  <c r="W137" i="35601"/>
  <c r="W129" i="35601"/>
  <c r="W121" i="35601"/>
  <c r="W113" i="35601"/>
  <c r="AB239" i="35601"/>
  <c r="AB253" i="35601"/>
  <c r="AB261" i="35601"/>
  <c r="AB269" i="35601"/>
  <c r="AB277" i="35601"/>
  <c r="AB285" i="35601"/>
  <c r="AB293" i="35601"/>
  <c r="AB301" i="35601"/>
  <c r="AB309" i="35601"/>
  <c r="AB317" i="35601"/>
  <c r="AB325" i="35601"/>
  <c r="AB333" i="35601"/>
  <c r="AB341" i="35601"/>
  <c r="AB349" i="35601"/>
  <c r="AB357" i="35601"/>
  <c r="AB365" i="35601"/>
  <c r="AB373" i="35601"/>
  <c r="AB381" i="35601"/>
  <c r="W376" i="35601"/>
  <c r="W368" i="35601"/>
  <c r="W360" i="35601"/>
  <c r="W352" i="35601"/>
  <c r="W344" i="35601"/>
  <c r="W336" i="35601"/>
  <c r="W328" i="35601"/>
  <c r="W320" i="35601"/>
  <c r="W312" i="35601"/>
  <c r="W304" i="35601"/>
  <c r="W296" i="35601"/>
  <c r="W288" i="35601"/>
  <c r="W280" i="35601"/>
  <c r="W272" i="35601"/>
  <c r="W263" i="35601"/>
  <c r="W255" i="35601"/>
  <c r="W247" i="35601"/>
  <c r="W239" i="35601"/>
  <c r="W231" i="35601"/>
  <c r="W223" i="35601"/>
  <c r="W215" i="35601"/>
  <c r="W207" i="35601"/>
  <c r="W198" i="35601"/>
  <c r="W188" i="35601"/>
  <c r="W180" i="35601"/>
  <c r="W172" i="35601"/>
  <c r="AB235" i="35601"/>
  <c r="AB173" i="35601"/>
  <c r="AB141" i="35601"/>
  <c r="AB109" i="35601"/>
  <c r="AB77" i="35601"/>
  <c r="AB45" i="35601"/>
  <c r="AB221" i="35601"/>
  <c r="AB165" i="35601"/>
  <c r="AB133" i="35601"/>
  <c r="AB101" i="35601"/>
  <c r="AB69" i="35601"/>
  <c r="AB37" i="35601"/>
  <c r="AB181" i="35601"/>
  <c r="AB33" i="35601"/>
  <c r="AB65" i="35601"/>
  <c r="AB97" i="35601"/>
  <c r="AB129" i="35601"/>
  <c r="AB161" i="35601"/>
  <c r="AB193" i="35601"/>
  <c r="AB225" i="35601"/>
  <c r="AB27" i="35601"/>
  <c r="AB43" i="35601"/>
  <c r="AB59" i="35601"/>
  <c r="AB75" i="35601"/>
  <c r="AB91" i="35601"/>
  <c r="AB107" i="35601"/>
  <c r="AB123" i="35601"/>
  <c r="AB139" i="35601"/>
  <c r="AB155" i="35601"/>
  <c r="AB171" i="35601"/>
  <c r="AB187" i="35601"/>
  <c r="AB203" i="35601"/>
  <c r="AB219" i="35601"/>
  <c r="AB19" i="35601"/>
  <c r="AB30" i="35601"/>
  <c r="AB46" i="35601"/>
  <c r="AB62" i="35601"/>
  <c r="AB78" i="35601"/>
  <c r="AB94" i="35601"/>
  <c r="AB110" i="35601"/>
  <c r="AB126" i="35601"/>
  <c r="AB142" i="35601"/>
  <c r="AB158" i="35601"/>
  <c r="AB174" i="35601"/>
  <c r="AB190" i="35601"/>
  <c r="AB206" i="35601"/>
  <c r="AB222" i="35601"/>
  <c r="AB237" i="35601"/>
  <c r="AB245" i="35601"/>
  <c r="AB197" i="35601"/>
  <c r="AB25" i="35601"/>
  <c r="AB57" i="35601"/>
  <c r="AB89" i="35601"/>
  <c r="AB121" i="35601"/>
  <c r="AB153" i="35601"/>
  <c r="AB185" i="35601"/>
  <c r="AB217" i="35601"/>
  <c r="AB23" i="35601"/>
  <c r="AB39" i="35601"/>
  <c r="AB55" i="35601"/>
  <c r="AB71" i="35601"/>
  <c r="AB87" i="35601"/>
  <c r="AB103" i="35601"/>
  <c r="AB119" i="35601"/>
  <c r="AB135" i="35601"/>
  <c r="AB151" i="35601"/>
  <c r="AB167" i="35601"/>
  <c r="AB183" i="35601"/>
  <c r="AB199" i="35601"/>
  <c r="AB215" i="35601"/>
  <c r="AB231" i="35601"/>
  <c r="AB26" i="35601"/>
  <c r="AB42" i="35601"/>
  <c r="AB58" i="35601"/>
  <c r="AB74" i="35601"/>
  <c r="AB90" i="35601"/>
  <c r="AB106" i="35601"/>
  <c r="AB122" i="35601"/>
  <c r="AB138" i="35601"/>
  <c r="AB154" i="35601"/>
  <c r="AB170" i="35601"/>
  <c r="AB186" i="35601"/>
  <c r="AB202" i="35601"/>
  <c r="AB218" i="35601"/>
  <c r="AB243" i="35601"/>
  <c r="AB255" i="35601"/>
  <c r="AB263" i="35601"/>
  <c r="AB271" i="35601"/>
  <c r="AB279" i="35601"/>
  <c r="AB287" i="35601"/>
  <c r="AB295" i="35601"/>
  <c r="AB303" i="35601"/>
  <c r="AB311" i="35601"/>
  <c r="AB319" i="35601"/>
  <c r="AB327" i="35601"/>
  <c r="AB335" i="35601"/>
  <c r="AB343" i="35601"/>
  <c r="AB351" i="35601"/>
  <c r="AB359" i="35601"/>
  <c r="AB367" i="35601"/>
  <c r="AB375" i="35601"/>
  <c r="W382" i="35601"/>
  <c r="W374" i="35601"/>
  <c r="W366" i="35601"/>
  <c r="W358" i="35601"/>
  <c r="W350" i="35601"/>
  <c r="W342" i="35601"/>
  <c r="W334" i="35601"/>
  <c r="W326" i="35601"/>
  <c r="W318" i="35601"/>
  <c r="W310" i="35601"/>
  <c r="W302" i="35601"/>
  <c r="W294" i="35601"/>
  <c r="W286" i="35601"/>
  <c r="W278" i="35601"/>
  <c r="W270" i="35601"/>
  <c r="W261" i="35601"/>
  <c r="W253" i="35601"/>
  <c r="W245" i="35601"/>
  <c r="W237" i="35601"/>
  <c r="W229" i="35601"/>
  <c r="W221" i="35601"/>
  <c r="W213" i="35601"/>
  <c r="W204" i="35601"/>
  <c r="W196" i="35601"/>
  <c r="W186" i="35601"/>
  <c r="W178" i="35601"/>
  <c r="W170" i="35601"/>
  <c r="AB28" i="35601"/>
  <c r="AB44" i="35601"/>
  <c r="AB60" i="35601"/>
  <c r="AB76" i="35601"/>
  <c r="AB92" i="35601"/>
  <c r="AB108" i="35601"/>
  <c r="AB124" i="35601"/>
  <c r="AB140" i="35601"/>
  <c r="AB156" i="35601"/>
  <c r="AB172" i="35601"/>
  <c r="AB188" i="35601"/>
  <c r="AB204" i="35601"/>
  <c r="AB220" i="35601"/>
  <c r="AB236" i="35601"/>
  <c r="AB244" i="35601"/>
  <c r="AB252" i="35601"/>
  <c r="AB260" i="35601"/>
  <c r="AB268" i="35601"/>
  <c r="AB276" i="35601"/>
  <c r="AB284" i="35601"/>
  <c r="AB292" i="35601"/>
  <c r="AB300" i="35601"/>
  <c r="AB308" i="35601"/>
  <c r="AB316" i="35601"/>
  <c r="AB324" i="35601"/>
  <c r="AB332" i="35601"/>
  <c r="AB340" i="35601"/>
  <c r="AB348" i="35601"/>
  <c r="AB356" i="35601"/>
  <c r="AB364" i="35601"/>
  <c r="AB372" i="35601"/>
  <c r="AB380" i="35601"/>
  <c r="W377" i="35601"/>
  <c r="W369" i="35601"/>
  <c r="W361" i="35601"/>
  <c r="W353" i="35601"/>
  <c r="W345" i="35601"/>
  <c r="W337" i="35601"/>
  <c r="W329" i="35601"/>
  <c r="W321" i="35601"/>
  <c r="W313" i="35601"/>
  <c r="W305" i="35601"/>
  <c r="W297" i="35601"/>
  <c r="W289" i="35601"/>
  <c r="W281" i="35601"/>
  <c r="W273" i="35601"/>
  <c r="W264" i="35601"/>
  <c r="W256" i="35601"/>
  <c r="W248" i="35601"/>
  <c r="W240" i="35601"/>
  <c r="W232" i="35601"/>
  <c r="W224" i="35601"/>
  <c r="W216" i="35601"/>
  <c r="W208" i="35601"/>
  <c r="W199" i="35601"/>
  <c r="W181" i="35601"/>
  <c r="W173" i="35601"/>
  <c r="W163" i="35601"/>
  <c r="W155" i="35601"/>
  <c r="W146" i="35601"/>
  <c r="W138" i="35601"/>
  <c r="W122" i="35601"/>
  <c r="W114" i="35601"/>
  <c r="W106" i="35601"/>
  <c r="W97" i="35601"/>
  <c r="W89" i="35601"/>
  <c r="W81" i="35601"/>
  <c r="W73" i="35601"/>
  <c r="W65" i="35601"/>
  <c r="W57" i="35601"/>
  <c r="W48" i="35601"/>
  <c r="W40" i="35601"/>
  <c r="W32" i="35601"/>
  <c r="W167" i="35601"/>
  <c r="W158" i="35601"/>
  <c r="W149" i="35601"/>
  <c r="W141" i="35601"/>
  <c r="W133" i="35601"/>
  <c r="W125" i="35601"/>
  <c r="W117" i="35601"/>
  <c r="AB226" i="35601"/>
  <c r="AB247" i="35601"/>
  <c r="AB257" i="35601"/>
  <c r="AB265" i="35601"/>
  <c r="AB273" i="35601"/>
  <c r="AB281" i="35601"/>
  <c r="AB289" i="35601"/>
  <c r="AB297" i="35601"/>
  <c r="AB305" i="35601"/>
  <c r="AB313" i="35601"/>
  <c r="AB321" i="35601"/>
  <c r="AB329" i="35601"/>
  <c r="AB337" i="35601"/>
  <c r="AB345" i="35601"/>
  <c r="AB353" i="35601"/>
  <c r="AB361" i="35601"/>
  <c r="AB369" i="35601"/>
  <c r="AB377" i="35601"/>
  <c r="W380" i="35601"/>
  <c r="W372" i="35601"/>
  <c r="W364" i="35601"/>
  <c r="W356" i="35601"/>
  <c r="W348" i="35601"/>
  <c r="W340" i="35601"/>
  <c r="W332" i="35601"/>
  <c r="W324" i="35601"/>
  <c r="W316" i="35601"/>
  <c r="W308" i="35601"/>
  <c r="W300" i="35601"/>
  <c r="W292" i="35601"/>
  <c r="W284" i="35601"/>
  <c r="W276" i="35601"/>
  <c r="W268" i="35601"/>
  <c r="W259" i="35601"/>
  <c r="W251" i="35601"/>
  <c r="W243" i="35601"/>
  <c r="W235" i="35601"/>
  <c r="W227" i="35601"/>
  <c r="W219" i="35601"/>
  <c r="W211" i="35601"/>
  <c r="W202" i="35601"/>
  <c r="W193" i="35601"/>
  <c r="AB24" i="35601"/>
  <c r="AB40" i="35601"/>
  <c r="AB56" i="35601"/>
  <c r="AB72" i="35601"/>
  <c r="AB88" i="35601"/>
  <c r="AB104" i="35601"/>
  <c r="AB120" i="35601"/>
  <c r="AB136" i="35601"/>
  <c r="AB152" i="35601"/>
  <c r="AB168" i="35601"/>
  <c r="AB184" i="35601"/>
  <c r="AB200" i="35601"/>
  <c r="AB216" i="35601"/>
  <c r="AB232" i="35601"/>
  <c r="AB242" i="35601"/>
  <c r="AB250" i="35601"/>
  <c r="AB258" i="35601"/>
  <c r="AB266" i="35601"/>
  <c r="AB274" i="35601"/>
  <c r="AB282" i="35601"/>
  <c r="AB290" i="35601"/>
  <c r="AB298" i="35601"/>
  <c r="AB306" i="35601"/>
  <c r="AB314" i="35601"/>
  <c r="AB322" i="35601"/>
  <c r="AB330" i="35601"/>
  <c r="AB338" i="35601"/>
  <c r="AB346" i="35601"/>
  <c r="AB354" i="35601"/>
  <c r="AB362" i="35601"/>
  <c r="AB370" i="35601"/>
  <c r="AB378" i="35601"/>
  <c r="W379" i="35601"/>
  <c r="W371" i="35601"/>
  <c r="W363" i="35601"/>
  <c r="W355" i="35601"/>
  <c r="W347" i="35601"/>
  <c r="W339" i="35601"/>
  <c r="W331" i="35601"/>
  <c r="W323" i="35601"/>
  <c r="W315" i="35601"/>
  <c r="W307" i="35601"/>
  <c r="W299" i="35601"/>
  <c r="W291" i="35601"/>
  <c r="W283" i="35601"/>
  <c r="W275" i="35601"/>
  <c r="W267" i="35601"/>
  <c r="W258" i="35601"/>
  <c r="W250" i="35601"/>
  <c r="W242" i="35601"/>
  <c r="W234" i="35601"/>
  <c r="W226" i="35601"/>
  <c r="W218" i="35601"/>
  <c r="W210" i="35601"/>
  <c r="W201" i="35601"/>
  <c r="W192" i="35601"/>
  <c r="W183" i="35601"/>
  <c r="W175" i="35601"/>
  <c r="W165" i="35601"/>
  <c r="W157" i="35601"/>
  <c r="W148" i="35601"/>
  <c r="W140" i="35601"/>
  <c r="W132" i="35601"/>
  <c r="W124" i="35601"/>
  <c r="W116" i="35601"/>
  <c r="W108" i="35601"/>
  <c r="W99" i="35601"/>
  <c r="W91" i="35601"/>
  <c r="W83" i="35601"/>
  <c r="W75" i="35601"/>
  <c r="W59" i="35601"/>
  <c r="W42" i="35601"/>
  <c r="W34" i="35601"/>
  <c r="W160" i="35601"/>
  <c r="W151" i="35601"/>
  <c r="W143" i="35601"/>
  <c r="W135" i="35601"/>
  <c r="W119" i="35601"/>
  <c r="W111" i="35601"/>
  <c r="W102" i="35601"/>
  <c r="W94" i="35601"/>
  <c r="W86" i="35601"/>
  <c r="W78" i="35601"/>
  <c r="W70" i="35601"/>
  <c r="W62" i="35601"/>
  <c r="W54" i="35601"/>
  <c r="W45" i="35601"/>
  <c r="W37" i="35601"/>
  <c r="W29" i="35601"/>
  <c r="W104" i="35601"/>
  <c r="W190" i="35601"/>
  <c r="W105" i="35601"/>
  <c r="W96" i="35601"/>
  <c r="W80" i="35601"/>
  <c r="W72" i="35601"/>
  <c r="W64" i="35601"/>
  <c r="W56" i="35601"/>
  <c r="W47" i="35601"/>
  <c r="W31" i="35601"/>
  <c r="W266" i="35601"/>
  <c r="W166" i="35601"/>
  <c r="W168" i="35601"/>
  <c r="AB32" i="35601"/>
  <c r="AB48" i="35601"/>
  <c r="AB64" i="35601"/>
  <c r="AB80" i="35601"/>
  <c r="AB96" i="35601"/>
  <c r="AB112" i="35601"/>
  <c r="AB128" i="35601"/>
  <c r="AB144" i="35601"/>
  <c r="AB160" i="35601"/>
  <c r="AB176" i="35601"/>
  <c r="AB192" i="35601"/>
  <c r="AB208" i="35601"/>
  <c r="AB224" i="35601"/>
  <c r="AB238" i="35601"/>
  <c r="AB246" i="35601"/>
  <c r="AB254" i="35601"/>
  <c r="AB262" i="35601"/>
  <c r="AB270" i="35601"/>
  <c r="AB278" i="35601"/>
  <c r="AB286" i="35601"/>
  <c r="AB294" i="35601"/>
  <c r="AB302" i="35601"/>
  <c r="AB310" i="35601"/>
  <c r="AB318" i="35601"/>
  <c r="AB326" i="35601"/>
  <c r="AB334" i="35601"/>
  <c r="AB342" i="35601"/>
  <c r="AB350" i="35601"/>
  <c r="AB358" i="35601"/>
  <c r="AB366" i="35601"/>
  <c r="AB374" i="35601"/>
  <c r="AB18" i="35601"/>
  <c r="W375" i="35601"/>
  <c r="W367" i="35601"/>
  <c r="W359" i="35601"/>
  <c r="W351" i="35601"/>
  <c r="W343" i="35601"/>
  <c r="W335" i="35601"/>
  <c r="W327" i="35601"/>
  <c r="W319" i="35601"/>
  <c r="W311" i="35601"/>
  <c r="W303" i="35601"/>
  <c r="W295" i="35601"/>
  <c r="W287" i="35601"/>
  <c r="W279" i="35601"/>
  <c r="W271" i="35601"/>
  <c r="W262" i="35601"/>
  <c r="W254" i="35601"/>
  <c r="W246" i="35601"/>
  <c r="W238" i="35601"/>
  <c r="W230" i="35601"/>
  <c r="W222" i="35601"/>
  <c r="W214" i="35601"/>
  <c r="W205" i="35601"/>
  <c r="W197" i="35601"/>
  <c r="W187" i="35601"/>
  <c r="W171" i="35601"/>
  <c r="W152" i="35601"/>
  <c r="W144" i="35601"/>
  <c r="W136" i="35601"/>
  <c r="W128" i="35601"/>
  <c r="W120" i="35601"/>
  <c r="W112" i="35601"/>
  <c r="W103" i="35601"/>
  <c r="W95" i="35601"/>
  <c r="W87" i="35601"/>
  <c r="W79" i="35601"/>
  <c r="W71" i="35601"/>
  <c r="W63" i="35601"/>
  <c r="W55" i="35601"/>
  <c r="W46" i="35601"/>
  <c r="W38" i="35601"/>
  <c r="W30" i="35601"/>
  <c r="W164" i="35601"/>
  <c r="W156" i="35601"/>
  <c r="W139" i="35601"/>
  <c r="W131" i="35601"/>
  <c r="W123" i="35601"/>
  <c r="W115" i="35601"/>
  <c r="W107" i="35601"/>
  <c r="W98" i="35601"/>
  <c r="W90" i="35601"/>
  <c r="W82" i="35601"/>
  <c r="W74" i="35601"/>
  <c r="W66" i="35601"/>
  <c r="W58" i="35601"/>
  <c r="W50" i="35601"/>
  <c r="W41" i="35601"/>
  <c r="W33" i="35601"/>
  <c r="W49" i="35601"/>
  <c r="W153" i="35601"/>
  <c r="W109" i="35601"/>
  <c r="W100" i="35601"/>
  <c r="W92" i="35601"/>
  <c r="W84" i="35601"/>
  <c r="W76" i="35601"/>
  <c r="W68" i="35601"/>
  <c r="W60" i="35601"/>
  <c r="W52" i="35601"/>
  <c r="W43" i="35601"/>
  <c r="W35" i="35601"/>
  <c r="W206" i="35601"/>
  <c r="V13" i="35572"/>
  <c r="W12" i="35572"/>
  <c r="W13" i="35572" s="1"/>
  <c r="V381" i="35601"/>
  <c r="V373" i="35601"/>
  <c r="V365" i="35601"/>
  <c r="V357" i="35601"/>
  <c r="V349" i="35601"/>
  <c r="V341" i="35601"/>
  <c r="V333" i="35601"/>
  <c r="V325" i="35601"/>
  <c r="V317" i="35601"/>
  <c r="V309" i="35601"/>
  <c r="V301" i="35601"/>
  <c r="V293" i="35601"/>
  <c r="V285" i="35601"/>
  <c r="V277" i="35601"/>
  <c r="V269" i="35601"/>
  <c r="V261" i="35601"/>
  <c r="V253" i="35601"/>
  <c r="V245" i="35601"/>
  <c r="V237" i="35601"/>
  <c r="V229" i="35601"/>
  <c r="V221" i="35601"/>
  <c r="V213" i="35601"/>
  <c r="V205" i="35601"/>
  <c r="V197" i="35601"/>
  <c r="V189" i="35601"/>
  <c r="V181" i="35601"/>
  <c r="V173" i="35601"/>
  <c r="V165" i="35601"/>
  <c r="V157" i="35601"/>
  <c r="V149" i="35601"/>
  <c r="V140" i="35601"/>
  <c r="V132" i="35601"/>
  <c r="V124" i="35601"/>
  <c r="V116" i="35601"/>
  <c r="V107" i="35601"/>
  <c r="V88" i="35601"/>
  <c r="V79" i="35601"/>
  <c r="V71" i="35601"/>
  <c r="V63" i="35601"/>
  <c r="V54" i="35601"/>
  <c r="V46" i="35601"/>
  <c r="V38" i="35601"/>
  <c r="V29" i="35601"/>
  <c r="V378" i="35601"/>
  <c r="V370" i="35601"/>
  <c r="V362" i="35601"/>
  <c r="V354" i="35601"/>
  <c r="V346" i="35601"/>
  <c r="V338" i="35601"/>
  <c r="V330" i="35601"/>
  <c r="V322" i="35601"/>
  <c r="V314" i="35601"/>
  <c r="V306" i="35601"/>
  <c r="V298" i="35601"/>
  <c r="V290" i="35601"/>
  <c r="V282" i="35601"/>
  <c r="V274" i="35601"/>
  <c r="V266" i="35601"/>
  <c r="V258" i="35601"/>
  <c r="V250" i="35601"/>
  <c r="V242" i="35601"/>
  <c r="V234" i="35601"/>
  <c r="V226" i="35601"/>
  <c r="V218" i="35601"/>
  <c r="V210" i="35601"/>
  <c r="V202" i="35601"/>
  <c r="V194" i="35601"/>
  <c r="V186" i="35601"/>
  <c r="V178" i="35601"/>
  <c r="V170" i="35601"/>
  <c r="V162" i="35601"/>
  <c r="V154" i="35601"/>
  <c r="V146" i="35601"/>
  <c r="V137" i="35601"/>
  <c r="V129" i="35601"/>
  <c r="V121" i="35601"/>
  <c r="V113" i="35601"/>
  <c r="V102" i="35601"/>
  <c r="V94" i="35601"/>
  <c r="V84" i="35601"/>
  <c r="V76" i="35601"/>
  <c r="V68" i="35601"/>
  <c r="V59" i="35601"/>
  <c r="V51" i="35601"/>
  <c r="V43" i="35601"/>
  <c r="V35" i="35601"/>
  <c r="V26" i="35601"/>
  <c r="V104" i="35601"/>
  <c r="V379" i="35601"/>
  <c r="V371" i="35601"/>
  <c r="V363" i="35601"/>
  <c r="V355" i="35601"/>
  <c r="V347" i="35601"/>
  <c r="V339" i="35601"/>
  <c r="V331" i="35601"/>
  <c r="V323" i="35601"/>
  <c r="V315" i="35601"/>
  <c r="V307" i="35601"/>
  <c r="V299" i="35601"/>
  <c r="V291" i="35601"/>
  <c r="V283" i="35601"/>
  <c r="V275" i="35601"/>
  <c r="V267" i="35601"/>
  <c r="V259" i="35601"/>
  <c r="V251" i="35601"/>
  <c r="V243" i="35601"/>
  <c r="V235" i="35601"/>
  <c r="V227" i="35601"/>
  <c r="V219" i="35601"/>
  <c r="V211" i="35601"/>
  <c r="V203" i="35601"/>
  <c r="V195" i="35601"/>
  <c r="V187" i="35601"/>
  <c r="V179" i="35601"/>
  <c r="V171" i="35601"/>
  <c r="V163" i="35601"/>
  <c r="V155" i="35601"/>
  <c r="V147" i="35601"/>
  <c r="V138" i="35601"/>
  <c r="V130" i="35601"/>
  <c r="V122" i="35601"/>
  <c r="V114" i="35601"/>
  <c r="V95" i="35601"/>
  <c r="V86" i="35601"/>
  <c r="V77" i="35601"/>
  <c r="V69" i="35601"/>
  <c r="V60" i="35601"/>
  <c r="V52" i="35601"/>
  <c r="V44" i="35601"/>
  <c r="V36" i="35601"/>
  <c r="V27" i="35601"/>
  <c r="V376" i="35601"/>
  <c r="V368" i="35601"/>
  <c r="V360" i="35601"/>
  <c r="V352" i="35601"/>
  <c r="V344" i="35601"/>
  <c r="V336" i="35601"/>
  <c r="V328" i="35601"/>
  <c r="V320" i="35601"/>
  <c r="V312" i="35601"/>
  <c r="V304" i="35601"/>
  <c r="V296" i="35601"/>
  <c r="V288" i="35601"/>
  <c r="V280" i="35601"/>
  <c r="V272" i="35601"/>
  <c r="V264" i="35601"/>
  <c r="V256" i="35601"/>
  <c r="V248" i="35601"/>
  <c r="V240" i="35601"/>
  <c r="V232" i="35601"/>
  <c r="V224" i="35601"/>
  <c r="V216" i="35601"/>
  <c r="V208" i="35601"/>
  <c r="V200" i="35601"/>
  <c r="V192" i="35601"/>
  <c r="V184" i="35601"/>
  <c r="V176" i="35601"/>
  <c r="V168" i="35601"/>
  <c r="V160" i="35601"/>
  <c r="V152" i="35601"/>
  <c r="V144" i="35601"/>
  <c r="V135" i="35601"/>
  <c r="V127" i="35601"/>
  <c r="V119" i="35601"/>
  <c r="V110" i="35601"/>
  <c r="V100" i="35601"/>
  <c r="V91" i="35601"/>
  <c r="V66" i="35601"/>
  <c r="V57" i="35601"/>
  <c r="V49" i="35601"/>
  <c r="V41" i="35601"/>
  <c r="V32" i="35601"/>
  <c r="V24" i="35601"/>
  <c r="V112" i="35601"/>
  <c r="V142" i="35601"/>
  <c r="V106" i="35601"/>
  <c r="V377" i="35601"/>
  <c r="V369" i="35601"/>
  <c r="V361" i="35601"/>
  <c r="V353" i="35601"/>
  <c r="V345" i="35601"/>
  <c r="V337" i="35601"/>
  <c r="V329" i="35601"/>
  <c r="V321" i="35601"/>
  <c r="V313" i="35601"/>
  <c r="V305" i="35601"/>
  <c r="V297" i="35601"/>
  <c r="V289" i="35601"/>
  <c r="V281" i="35601"/>
  <c r="V273" i="35601"/>
  <c r="V265" i="35601"/>
  <c r="V257" i="35601"/>
  <c r="V249" i="35601"/>
  <c r="V241" i="35601"/>
  <c r="V233" i="35601"/>
  <c r="V225" i="35601"/>
  <c r="V217" i="35601"/>
  <c r="V209" i="35601"/>
  <c r="V201" i="35601"/>
  <c r="V193" i="35601"/>
  <c r="V185" i="35601"/>
  <c r="V177" i="35601"/>
  <c r="V169" i="35601"/>
  <c r="V161" i="35601"/>
  <c r="V153" i="35601"/>
  <c r="V145" i="35601"/>
  <c r="V136" i="35601"/>
  <c r="V128" i="35601"/>
  <c r="V120" i="35601"/>
  <c r="V111" i="35601"/>
  <c r="V101" i="35601"/>
  <c r="V93" i="35601"/>
  <c r="V83" i="35601"/>
  <c r="V75" i="35601"/>
  <c r="V67" i="35601"/>
  <c r="V58" i="35601"/>
  <c r="V50" i="35601"/>
  <c r="V34" i="35601"/>
  <c r="V25" i="35601"/>
  <c r="V382" i="35601"/>
  <c r="V374" i="35601"/>
  <c r="V366" i="35601"/>
  <c r="V358" i="35601"/>
  <c r="V350" i="35601"/>
  <c r="V342" i="35601"/>
  <c r="V334" i="35601"/>
  <c r="V326" i="35601"/>
  <c r="V318" i="35601"/>
  <c r="V310" i="35601"/>
  <c r="V302" i="35601"/>
  <c r="V294" i="35601"/>
  <c r="V286" i="35601"/>
  <c r="V278" i="35601"/>
  <c r="V270" i="35601"/>
  <c r="V262" i="35601"/>
  <c r="V254" i="35601"/>
  <c r="V246" i="35601"/>
  <c r="V238" i="35601"/>
  <c r="V230" i="35601"/>
  <c r="V222" i="35601"/>
  <c r="V214" i="35601"/>
  <c r="V206" i="35601"/>
  <c r="V198" i="35601"/>
  <c r="V190" i="35601"/>
  <c r="V182" i="35601"/>
  <c r="V174" i="35601"/>
  <c r="V166" i="35601"/>
  <c r="V158" i="35601"/>
  <c r="V150" i="35601"/>
  <c r="V141" i="35601"/>
  <c r="V133" i="35601"/>
  <c r="V125" i="35601"/>
  <c r="V117" i="35601"/>
  <c r="V108" i="35601"/>
  <c r="V80" i="35601"/>
  <c r="V55" i="35601"/>
  <c r="V47" i="35601"/>
  <c r="V39" i="35601"/>
  <c r="V30" i="35601"/>
  <c r="V61" i="35601"/>
  <c r="V33" i="35601"/>
  <c r="V375" i="35601"/>
  <c r="V367" i="35601"/>
  <c r="V359" i="35601"/>
  <c r="V351" i="35601"/>
  <c r="V343" i="35601"/>
  <c r="V335" i="35601"/>
  <c r="V327" i="35601"/>
  <c r="V319" i="35601"/>
  <c r="V311" i="35601"/>
  <c r="V303" i="35601"/>
  <c r="V295" i="35601"/>
  <c r="V287" i="35601"/>
  <c r="V279" i="35601"/>
  <c r="V271" i="35601"/>
  <c r="V263" i="35601"/>
  <c r="V255" i="35601"/>
  <c r="V247" i="35601"/>
  <c r="V239" i="35601"/>
  <c r="V231" i="35601"/>
  <c r="V223" i="35601"/>
  <c r="V215" i="35601"/>
  <c r="V207" i="35601"/>
  <c r="V199" i="35601"/>
  <c r="V191" i="35601"/>
  <c r="V183" i="35601"/>
  <c r="V175" i="35601"/>
  <c r="V167" i="35601"/>
  <c r="V159" i="35601"/>
  <c r="V151" i="35601"/>
  <c r="V143" i="35601"/>
  <c r="V134" i="35601"/>
  <c r="V126" i="35601"/>
  <c r="V118" i="35601"/>
  <c r="V109" i="35601"/>
  <c r="V99" i="35601"/>
  <c r="V90" i="35601"/>
  <c r="V81" i="35601"/>
  <c r="V73" i="35601"/>
  <c r="V65" i="35601"/>
  <c r="V56" i="35601"/>
  <c r="V48" i="35601"/>
  <c r="V40" i="35601"/>
  <c r="V31" i="35601"/>
  <c r="V23" i="35601"/>
  <c r="V380" i="35601"/>
  <c r="V372" i="35601"/>
  <c r="V364" i="35601"/>
  <c r="V356" i="35601"/>
  <c r="V348" i="35601"/>
  <c r="V340" i="35601"/>
  <c r="V332" i="35601"/>
  <c r="V324" i="35601"/>
  <c r="V316" i="35601"/>
  <c r="V308" i="35601"/>
  <c r="V300" i="35601"/>
  <c r="V292" i="35601"/>
  <c r="V284" i="35601"/>
  <c r="V276" i="35601"/>
  <c r="V268" i="35601"/>
  <c r="V260" i="35601"/>
  <c r="V252" i="35601"/>
  <c r="V244" i="35601"/>
  <c r="V236" i="35601"/>
  <c r="V228" i="35601"/>
  <c r="V220" i="35601"/>
  <c r="V212" i="35601"/>
  <c r="V204" i="35601"/>
  <c r="V196" i="35601"/>
  <c r="V188" i="35601"/>
  <c r="V180" i="35601"/>
  <c r="V172" i="35601"/>
  <c r="V164" i="35601"/>
  <c r="V156" i="35601"/>
  <c r="V148" i="35601"/>
  <c r="V139" i="35601"/>
  <c r="V131" i="35601"/>
  <c r="V123" i="35601"/>
  <c r="V115" i="35601"/>
  <c r="V105" i="35601"/>
  <c r="V96" i="35601"/>
  <c r="V87" i="35601"/>
  <c r="V78" i="35601"/>
  <c r="V70" i="35601"/>
  <c r="V62" i="35601"/>
  <c r="V45" i="35601"/>
  <c r="V37" i="35601"/>
  <c r="V92" i="35601"/>
  <c r="V85" i="35601"/>
  <c r="G140" i="35600"/>
  <c r="J140" i="35600" s="1"/>
  <c r="K140" i="35600"/>
  <c r="M140" i="35600"/>
  <c r="L140" i="35600" s="1"/>
  <c r="M153" i="35600"/>
  <c r="L153" i="35600" s="1"/>
  <c r="K153" i="35600"/>
  <c r="G153" i="35600"/>
  <c r="J153" i="35600" s="1"/>
  <c r="G141" i="35600"/>
  <c r="J141" i="35600" s="1"/>
  <c r="M141" i="35600"/>
  <c r="L141" i="35600" s="1"/>
  <c r="K141" i="35600"/>
  <c r="M138" i="35600"/>
  <c r="L138" i="35600" s="1"/>
  <c r="G138" i="35600"/>
  <c r="J138" i="35600" s="1"/>
  <c r="K138" i="35600"/>
  <c r="G136" i="35600"/>
  <c r="J136" i="35600" s="1"/>
  <c r="M136" i="35600"/>
  <c r="L136" i="35600" s="1"/>
  <c r="K136" i="35600"/>
  <c r="G96" i="35600"/>
  <c r="J96" i="35600" s="1"/>
  <c r="M96" i="35600"/>
  <c r="L96" i="35600" s="1"/>
  <c r="K96" i="35600"/>
  <c r="G362" i="35600"/>
  <c r="J362" i="35600" s="1"/>
  <c r="K362" i="35600"/>
  <c r="M362" i="35600"/>
  <c r="L362" i="35600" s="1"/>
  <c r="G146" i="35600"/>
  <c r="J146" i="35600" s="1"/>
  <c r="M146" i="35600"/>
  <c r="L146" i="35600" s="1"/>
  <c r="K146" i="35600"/>
  <c r="G351" i="35600"/>
  <c r="J351" i="35600" s="1"/>
  <c r="K351" i="35600"/>
  <c r="M351" i="35600"/>
  <c r="L351" i="35600" s="1"/>
  <c r="K93" i="35600"/>
  <c r="G93" i="35600"/>
  <c r="J93" i="35600" s="1"/>
  <c r="M93" i="35600"/>
  <c r="L93" i="35600" s="1"/>
  <c r="G371" i="35600" l="1"/>
  <c r="J371" i="35600" s="1"/>
  <c r="W27" i="35601"/>
  <c r="V22" i="35601"/>
  <c r="W26" i="35601"/>
  <c r="W25" i="35601"/>
  <c r="W24" i="35601"/>
  <c r="V21" i="35601"/>
  <c r="W23" i="35601"/>
  <c r="W22" i="35601"/>
  <c r="V20" i="35601"/>
  <c r="V19" i="35601"/>
  <c r="W20" i="35601"/>
  <c r="F30" i="35574"/>
  <c r="E31" i="35572"/>
  <c r="F28" i="35574"/>
  <c r="G28" i="35574" s="1"/>
  <c r="J28" i="35574"/>
  <c r="W19" i="35601"/>
  <c r="J27" i="35574"/>
  <c r="K27" i="35574" s="1"/>
  <c r="G27" i="35574"/>
  <c r="F29" i="35574"/>
  <c r="G29" i="35574" s="1"/>
  <c r="V18" i="35601"/>
  <c r="W18" i="35601"/>
  <c r="AA25" i="35601"/>
  <c r="G357" i="35600"/>
  <c r="J357" i="35600" s="1"/>
  <c r="G104" i="35600"/>
  <c r="J104" i="35600" s="1"/>
  <c r="AA161" i="35601"/>
  <c r="AA113" i="35601"/>
  <c r="AA232" i="35601"/>
  <c r="AA249" i="35601"/>
  <c r="AA183" i="35601"/>
  <c r="AA107" i="35601"/>
  <c r="AA43" i="35601"/>
  <c r="Y116" i="35572"/>
  <c r="V28" i="35601"/>
  <c r="AA102" i="35601"/>
  <c r="AA297" i="35601"/>
  <c r="Y340" i="35572"/>
  <c r="Y212" i="35572"/>
  <c r="Y83" i="35572"/>
  <c r="AA311" i="35601"/>
  <c r="W39" i="35601"/>
  <c r="K104" i="35600"/>
  <c r="Y220" i="35572"/>
  <c r="AA280" i="35601"/>
  <c r="Y357" i="35572"/>
  <c r="AA144" i="35601"/>
  <c r="Y318" i="35572"/>
  <c r="Y142" i="35572"/>
  <c r="W51" i="35601"/>
  <c r="M357" i="35600"/>
  <c r="L357" i="35600" s="1"/>
  <c r="G112" i="35600"/>
  <c r="J112" i="35600" s="1"/>
  <c r="W67" i="35601"/>
  <c r="V42" i="35601"/>
  <c r="W88" i="35601"/>
  <c r="Y294" i="35572"/>
  <c r="Y196" i="35572"/>
  <c r="AA368" i="35601"/>
  <c r="Y269" i="35572"/>
  <c r="AA184" i="35601"/>
  <c r="AA56" i="35601"/>
  <c r="AA343" i="35601"/>
  <c r="K107" i="35600"/>
  <c r="AA238" i="35601"/>
  <c r="AA49" i="35601"/>
  <c r="AA217" i="35601"/>
  <c r="AA75" i="35601"/>
  <c r="AA326" i="35601"/>
  <c r="AA197" i="35601"/>
  <c r="AA55" i="35601"/>
  <c r="Y227" i="35572"/>
  <c r="Y100" i="35572"/>
  <c r="AA86" i="35601"/>
  <c r="AA313" i="35601"/>
  <c r="Y67" i="35572"/>
  <c r="Y166" i="35572"/>
  <c r="V64" i="35601"/>
  <c r="AA191" i="35601"/>
  <c r="AA200" i="35601"/>
  <c r="AA139" i="35601"/>
  <c r="AA262" i="35601"/>
  <c r="Y375" i="35572"/>
  <c r="K106" i="35600"/>
  <c r="M107" i="35600"/>
  <c r="L107" i="35600" s="1"/>
  <c r="AA222" i="35601"/>
  <c r="AA163" i="35601"/>
  <c r="AA33" i="35601"/>
  <c r="AA192" i="35601"/>
  <c r="AA209" i="35601"/>
  <c r="M123" i="35600"/>
  <c r="L123" i="35600" s="1"/>
  <c r="AA206" i="35601"/>
  <c r="AA145" i="35601"/>
  <c r="AA248" i="35601"/>
  <c r="AA174" i="35601"/>
  <c r="Y164" i="35572"/>
  <c r="Y365" i="35572"/>
  <c r="Y301" i="35572"/>
  <c r="Y237" i="35572"/>
  <c r="Y173" i="35572"/>
  <c r="AA152" i="35601"/>
  <c r="AA88" i="35601"/>
  <c r="AA24" i="35601"/>
  <c r="Y198" i="35572"/>
  <c r="Y133" i="35572"/>
  <c r="Y69" i="35572"/>
  <c r="K354" i="35600"/>
  <c r="V72" i="35601"/>
  <c r="K120" i="35600"/>
  <c r="K112" i="35600"/>
  <c r="K369" i="35600"/>
  <c r="W127" i="35601"/>
  <c r="G360" i="35600"/>
  <c r="J360" i="35600" s="1"/>
  <c r="M360" i="35600"/>
  <c r="L360" i="35600" s="1"/>
  <c r="K117" i="35600"/>
  <c r="Y311" i="35572"/>
  <c r="Y247" i="35572"/>
  <c r="Y183" i="35572"/>
  <c r="Y120" i="35572"/>
  <c r="Y56" i="35572"/>
  <c r="AA162" i="35601"/>
  <c r="AA247" i="35601"/>
  <c r="AA105" i="35601"/>
  <c r="AA228" i="35601"/>
  <c r="AA245" i="35601"/>
  <c r="AA175" i="35601"/>
  <c r="AA103" i="35601"/>
  <c r="AA298" i="35601"/>
  <c r="AA362" i="35601"/>
  <c r="Y339" i="35572"/>
  <c r="Y275" i="35572"/>
  <c r="Y211" i="35572"/>
  <c r="Y147" i="35572"/>
  <c r="Y84" i="35572"/>
  <c r="AA122" i="35601"/>
  <c r="AA58" i="35601"/>
  <c r="AA277" i="35601"/>
  <c r="AA341" i="35601"/>
  <c r="Y360" i="35572"/>
  <c r="Y296" i="35572"/>
  <c r="Y232" i="35572"/>
  <c r="Y168" i="35572"/>
  <c r="Y103" i="35572"/>
  <c r="AA251" i="35601"/>
  <c r="AA109" i="35601"/>
  <c r="AA268" i="35601"/>
  <c r="AA332" i="35601"/>
  <c r="Y369" i="35572"/>
  <c r="Y305" i="35572"/>
  <c r="Y241" i="35572"/>
  <c r="Y177" i="35572"/>
  <c r="Y114" i="35572"/>
  <c r="Y50" i="35572"/>
  <c r="AA156" i="35601"/>
  <c r="AA92" i="35601"/>
  <c r="AA28" i="35601"/>
  <c r="AA307" i="35601"/>
  <c r="AA371" i="35601"/>
  <c r="Y330" i="35572"/>
  <c r="Y266" i="35572"/>
  <c r="Y202" i="35572"/>
  <c r="Y137" i="35572"/>
  <c r="Y73" i="35572"/>
  <c r="AA134" i="35601"/>
  <c r="AA70" i="35601"/>
  <c r="AA265" i="35601"/>
  <c r="AA329" i="35601"/>
  <c r="Y372" i="35572"/>
  <c r="Y308" i="35572"/>
  <c r="Y244" i="35572"/>
  <c r="Y180" i="35572"/>
  <c r="Y115" i="35572"/>
  <c r="Y51" i="35572"/>
  <c r="AA194" i="35601"/>
  <c r="AA133" i="35601"/>
  <c r="AA256" i="35601"/>
  <c r="AA320" i="35601"/>
  <c r="Y381" i="35572"/>
  <c r="Y317" i="35572"/>
  <c r="Y253" i="35572"/>
  <c r="Y189" i="35572"/>
  <c r="Y126" i="35572"/>
  <c r="Y62" i="35572"/>
  <c r="AA168" i="35601"/>
  <c r="AA104" i="35601"/>
  <c r="AA295" i="35601"/>
  <c r="AA359" i="35601"/>
  <c r="Y342" i="35572"/>
  <c r="Y278" i="35572"/>
  <c r="Y214" i="35572"/>
  <c r="Y150" i="35572"/>
  <c r="Y85" i="35572"/>
  <c r="Y21" i="35572"/>
  <c r="AA131" i="35601"/>
  <c r="AA67" i="35601"/>
  <c r="AA270" i="35601"/>
  <c r="AA334" i="35601"/>
  <c r="Y367" i="35572"/>
  <c r="Y303" i="35572"/>
  <c r="Y239" i="35572"/>
  <c r="Y175" i="35572"/>
  <c r="Y112" i="35572"/>
  <c r="Y48" i="35572"/>
  <c r="AA154" i="35601"/>
  <c r="AA231" i="35601"/>
  <c r="AA89" i="35601"/>
  <c r="AA220" i="35601"/>
  <c r="AA237" i="35601"/>
  <c r="AA159" i="35601"/>
  <c r="AA95" i="35601"/>
  <c r="AA31" i="35601"/>
  <c r="AA306" i="35601"/>
  <c r="AA370" i="35601"/>
  <c r="Y331" i="35572"/>
  <c r="Y267" i="35572"/>
  <c r="Y203" i="35572"/>
  <c r="Y140" i="35572"/>
  <c r="Y76" i="35572"/>
  <c r="AA182" i="35601"/>
  <c r="AA114" i="35601"/>
  <c r="AA50" i="35601"/>
  <c r="AA285" i="35601"/>
  <c r="AA349" i="35601"/>
  <c r="Y352" i="35572"/>
  <c r="Y288" i="35572"/>
  <c r="Y224" i="35572"/>
  <c r="Y160" i="35572"/>
  <c r="Y95" i="35572"/>
  <c r="Y31" i="35572"/>
  <c r="AA235" i="35601"/>
  <c r="AA93" i="35601"/>
  <c r="AA276" i="35601"/>
  <c r="AA340" i="35601"/>
  <c r="Y361" i="35572"/>
  <c r="Y297" i="35572"/>
  <c r="Y233" i="35572"/>
  <c r="Y169" i="35572"/>
  <c r="Y106" i="35572"/>
  <c r="Y42" i="35572"/>
  <c r="AA148" i="35601"/>
  <c r="AA84" i="35601"/>
  <c r="AA315" i="35601"/>
  <c r="AA379" i="35601"/>
  <c r="Y322" i="35572"/>
  <c r="Y258" i="35572"/>
  <c r="Y194" i="35572"/>
  <c r="Y129" i="35572"/>
  <c r="Y65" i="35572"/>
  <c r="AA126" i="35601"/>
  <c r="AA62" i="35601"/>
  <c r="AA273" i="35601"/>
  <c r="AA337" i="35601"/>
  <c r="Y364" i="35572"/>
  <c r="Y300" i="35572"/>
  <c r="Y236" i="35572"/>
  <c r="Y172" i="35572"/>
  <c r="Y107" i="35572"/>
  <c r="Y43" i="35572"/>
  <c r="AA169" i="35601"/>
  <c r="AA117" i="35601"/>
  <c r="AA264" i="35601"/>
  <c r="AA328" i="35601"/>
  <c r="Y373" i="35572"/>
  <c r="Y309" i="35572"/>
  <c r="Y245" i="35572"/>
  <c r="Y181" i="35572"/>
  <c r="Y118" i="35572"/>
  <c r="Y54" i="35572"/>
  <c r="AA160" i="35601"/>
  <c r="AA96" i="35601"/>
  <c r="AA32" i="35601"/>
  <c r="AA303" i="35601"/>
  <c r="AA367" i="35601"/>
  <c r="Y334" i="35572"/>
  <c r="Y270" i="35572"/>
  <c r="Y206" i="35572"/>
  <c r="Y141" i="35572"/>
  <c r="Y77" i="35572"/>
  <c r="V74" i="35601"/>
  <c r="G120" i="35600"/>
  <c r="J120" i="35600" s="1"/>
  <c r="K116" i="35600"/>
  <c r="AA181" i="35601"/>
  <c r="M367" i="35600"/>
  <c r="L367" i="35600" s="1"/>
  <c r="G367" i="35600"/>
  <c r="J367" i="35600" s="1"/>
  <c r="M117" i="35600"/>
  <c r="L117" i="35600" s="1"/>
  <c r="G115" i="35600"/>
  <c r="J115" i="35600" s="1"/>
  <c r="M116" i="35600"/>
  <c r="L116" i="35600" s="1"/>
  <c r="W130" i="35601"/>
  <c r="AA254" i="35601"/>
  <c r="AA207" i="35601"/>
  <c r="AA65" i="35601"/>
  <c r="AA208" i="35601"/>
  <c r="AA236" i="35601"/>
  <c r="AA47" i="35601"/>
  <c r="AA290" i="35601"/>
  <c r="Y219" i="35572"/>
  <c r="AA78" i="35601"/>
  <c r="Y380" i="35572"/>
  <c r="Y252" i="35572"/>
  <c r="Y188" i="35572"/>
  <c r="Y59" i="35572"/>
  <c r="AA149" i="35601"/>
  <c r="AA376" i="35601"/>
  <c r="Y197" i="35572"/>
  <c r="Y70" i="35572"/>
  <c r="AA176" i="35601"/>
  <c r="AA351" i="35601"/>
  <c r="Y350" i="35572"/>
  <c r="Y286" i="35572"/>
  <c r="Y222" i="35572"/>
  <c r="Y29" i="35572"/>
  <c r="AA201" i="35601"/>
  <c r="AA123" i="35601"/>
  <c r="AA59" i="35601"/>
  <c r="AA278" i="35601"/>
  <c r="AA342" i="35601"/>
  <c r="Y359" i="35572"/>
  <c r="AA23" i="35601"/>
  <c r="Y259" i="35572"/>
  <c r="AA345" i="35601"/>
  <c r="Y292" i="35572"/>
  <c r="AA101" i="35601"/>
  <c r="AA272" i="35601"/>
  <c r="AA336" i="35601"/>
  <c r="Y110" i="35572"/>
  <c r="Y46" i="35572"/>
  <c r="AA375" i="35601"/>
  <c r="Y326" i="35572"/>
  <c r="Y262" i="35572"/>
  <c r="AA190" i="35601"/>
  <c r="AA129" i="35601"/>
  <c r="AA240" i="35601"/>
  <c r="AA165" i="35601"/>
  <c r="AA193" i="35601"/>
  <c r="AA115" i="35601"/>
  <c r="AA51" i="35601"/>
  <c r="AA286" i="35601"/>
  <c r="AA350" i="35601"/>
  <c r="Y351" i="35572"/>
  <c r="Y287" i="35572"/>
  <c r="Y223" i="35572"/>
  <c r="Y159" i="35572"/>
  <c r="Y96" i="35572"/>
  <c r="Y32" i="35572"/>
  <c r="AA246" i="35601"/>
  <c r="AA199" i="35601"/>
  <c r="AA57" i="35601"/>
  <c r="AA204" i="35601"/>
  <c r="AA221" i="35601"/>
  <c r="AA143" i="35601"/>
  <c r="AA79" i="35601"/>
  <c r="AA258" i="35601"/>
  <c r="AA322" i="35601"/>
  <c r="Y379" i="35572"/>
  <c r="Y315" i="35572"/>
  <c r="Y251" i="35572"/>
  <c r="Y187" i="35572"/>
  <c r="Y124" i="35572"/>
  <c r="Y60" i="35572"/>
  <c r="AA166" i="35601"/>
  <c r="AA98" i="35601"/>
  <c r="AA301" i="35601"/>
  <c r="AA365" i="35601"/>
  <c r="Y336" i="35572"/>
  <c r="Y272" i="35572"/>
  <c r="Y208" i="35572"/>
  <c r="Y144" i="35572"/>
  <c r="Y79" i="35572"/>
  <c r="AA250" i="35601"/>
  <c r="AA203" i="35601"/>
  <c r="AA61" i="35601"/>
  <c r="AA292" i="35601"/>
  <c r="AA356" i="35601"/>
  <c r="Y345" i="35572"/>
  <c r="Y281" i="35572"/>
  <c r="Y217" i="35572"/>
  <c r="Y153" i="35572"/>
  <c r="Y90" i="35572"/>
  <c r="Y26" i="35572"/>
  <c r="AA132" i="35601"/>
  <c r="AA68" i="35601"/>
  <c r="AA267" i="35601"/>
  <c r="AA331" i="35601"/>
  <c r="Y370" i="35572"/>
  <c r="Y306" i="35572"/>
  <c r="Y242" i="35572"/>
  <c r="Y178" i="35572"/>
  <c r="Y113" i="35572"/>
  <c r="Y49" i="35572"/>
  <c r="AA110" i="35601"/>
  <c r="AA46" i="35601"/>
  <c r="AA289" i="35601"/>
  <c r="AA353" i="35601"/>
  <c r="Y348" i="35572"/>
  <c r="Y284" i="35572"/>
  <c r="Y156" i="35572"/>
  <c r="Y91" i="35572"/>
  <c r="Y27" i="35572"/>
  <c r="AA227" i="35601"/>
  <c r="AA85" i="35601"/>
  <c r="AA344" i="35601"/>
  <c r="Y293" i="35572"/>
  <c r="Y229" i="35572"/>
  <c r="Y165" i="35572"/>
  <c r="Y102" i="35572"/>
  <c r="Y38" i="35572"/>
  <c r="AA80" i="35601"/>
  <c r="AA255" i="35601"/>
  <c r="AA319" i="35601"/>
  <c r="Y382" i="35572"/>
  <c r="Y254" i="35572"/>
  <c r="Y190" i="35572"/>
  <c r="Y125" i="35572"/>
  <c r="Y61" i="35572"/>
  <c r="M122" i="35600"/>
  <c r="L122" i="35600" s="1"/>
  <c r="G363" i="35600"/>
  <c r="J363" i="35600" s="1"/>
  <c r="G105" i="35600"/>
  <c r="J105" i="35600" s="1"/>
  <c r="G356" i="35600"/>
  <c r="J356" i="35600" s="1"/>
  <c r="G361" i="35600"/>
  <c r="J361" i="35600" s="1"/>
  <c r="M115" i="35600"/>
  <c r="L115" i="35600" s="1"/>
  <c r="K111" i="35600"/>
  <c r="G118" i="35600"/>
  <c r="J118" i="35600" s="1"/>
  <c r="M361" i="35600"/>
  <c r="L361" i="35600" s="1"/>
  <c r="G111" i="35600"/>
  <c r="J111" i="35600" s="1"/>
  <c r="V82" i="35601"/>
  <c r="K123" i="35600"/>
  <c r="G122" i="35600"/>
  <c r="J122" i="35600" s="1"/>
  <c r="K108" i="35600"/>
  <c r="W147" i="35601"/>
  <c r="K363" i="35600"/>
  <c r="M105" i="35600"/>
  <c r="L105" i="35600" s="1"/>
  <c r="W161" i="35601"/>
  <c r="G354" i="35600"/>
  <c r="J354" i="35600" s="1"/>
  <c r="V89" i="35601"/>
  <c r="M369" i="35600"/>
  <c r="L369" i="35600" s="1"/>
  <c r="M114" i="35600"/>
  <c r="L114" i="35600" s="1"/>
  <c r="M364" i="35600"/>
  <c r="L364" i="35600" s="1"/>
  <c r="K114" i="35600"/>
  <c r="K364" i="35600"/>
  <c r="M106" i="35600"/>
  <c r="L106" i="35600" s="1"/>
  <c r="G119" i="35600"/>
  <c r="J119" i="35600" s="1"/>
  <c r="K118" i="35600"/>
  <c r="M119" i="35600"/>
  <c r="L119" i="35600" s="1"/>
  <c r="K110" i="35600"/>
  <c r="M110" i="35600"/>
  <c r="L110" i="35600" s="1"/>
  <c r="M366" i="35600"/>
  <c r="L366" i="35600" s="1"/>
  <c r="G110" i="35600"/>
  <c r="J110" i="35600" s="1"/>
  <c r="K113" i="35600"/>
  <c r="G108" i="35600"/>
  <c r="J108" i="35600" s="1"/>
  <c r="AA48" i="35601"/>
  <c r="G113" i="35600"/>
  <c r="J113" i="35600" s="1"/>
  <c r="K366" i="35600"/>
  <c r="K356" i="35600"/>
  <c r="K353" i="35600"/>
  <c r="M353" i="35600"/>
  <c r="L353" i="35600" s="1"/>
  <c r="K359" i="35600"/>
  <c r="M359" i="35600"/>
  <c r="L359" i="35600" s="1"/>
  <c r="K368" i="35600"/>
  <c r="G368" i="35600"/>
  <c r="J368" i="35600" s="1"/>
  <c r="M368" i="35600"/>
  <c r="L368" i="35600" s="1"/>
  <c r="G359" i="35600"/>
  <c r="J359" i="35600" s="1"/>
  <c r="V98" i="35601"/>
  <c r="M121" i="35600"/>
  <c r="L121" i="35600" s="1"/>
  <c r="K121" i="35600"/>
  <c r="M109" i="35600"/>
  <c r="L109" i="35600" s="1"/>
  <c r="G109" i="35600"/>
  <c r="J109" i="35600" s="1"/>
  <c r="M358" i="35600"/>
  <c r="L358" i="35600" s="1"/>
  <c r="G358" i="35600"/>
  <c r="J358" i="35600" s="1"/>
  <c r="M365" i="35600"/>
  <c r="L365" i="35600" s="1"/>
  <c r="K365" i="35600"/>
  <c r="AA19" i="35601"/>
  <c r="W179" i="35601"/>
  <c r="AA225" i="35601"/>
  <c r="AA147" i="35601"/>
  <c r="AA83" i="35601"/>
  <c r="AA18" i="35601"/>
  <c r="AA318" i="35601"/>
  <c r="AA382" i="35601"/>
  <c r="Y319" i="35572"/>
  <c r="Y255" i="35572"/>
  <c r="Y191" i="35572"/>
  <c r="Y128" i="35572"/>
  <c r="Y64" i="35572"/>
  <c r="AA170" i="35601"/>
  <c r="AA177" i="35601"/>
  <c r="AA121" i="35601"/>
  <c r="AA253" i="35601"/>
  <c r="AA189" i="35601"/>
  <c r="AA111" i="35601"/>
  <c r="AA354" i="35601"/>
  <c r="Y347" i="35572"/>
  <c r="Y283" i="35572"/>
  <c r="Y155" i="35572"/>
  <c r="Y92" i="35572"/>
  <c r="Y28" i="35572"/>
  <c r="AA130" i="35601"/>
  <c r="AA66" i="35601"/>
  <c r="AA269" i="35601"/>
  <c r="AA333" i="35601"/>
  <c r="Y368" i="35572"/>
  <c r="Y304" i="35572"/>
  <c r="Y240" i="35572"/>
  <c r="Y176" i="35572"/>
  <c r="Y111" i="35572"/>
  <c r="Y47" i="35572"/>
  <c r="AA185" i="35601"/>
  <c r="AA125" i="35601"/>
  <c r="AA260" i="35601"/>
  <c r="AA324" i="35601"/>
  <c r="Y377" i="35572"/>
  <c r="Y313" i="35572"/>
  <c r="Y249" i="35572"/>
  <c r="Y185" i="35572"/>
  <c r="Y122" i="35572"/>
  <c r="Y58" i="35572"/>
  <c r="AA164" i="35601"/>
  <c r="AA100" i="35601"/>
  <c r="AA299" i="35601"/>
  <c r="AA363" i="35601"/>
  <c r="Y338" i="35572"/>
  <c r="Y274" i="35572"/>
  <c r="Y210" i="35572"/>
  <c r="Y146" i="35572"/>
  <c r="Y81" i="35572"/>
  <c r="AA142" i="35601"/>
  <c r="AA257" i="35601"/>
  <c r="AA321" i="35601"/>
  <c r="Y316" i="35572"/>
  <c r="Y123" i="35572"/>
  <c r="AA210" i="35601"/>
  <c r="AA312" i="35601"/>
  <c r="Y325" i="35572"/>
  <c r="Y261" i="35572"/>
  <c r="Y134" i="35572"/>
  <c r="AA112" i="35601"/>
  <c r="AA287" i="35601"/>
  <c r="Y158" i="35572"/>
  <c r="Y93" i="35572"/>
  <c r="G355" i="35600"/>
  <c r="J355" i="35600" s="1"/>
  <c r="M355" i="35600"/>
  <c r="L355" i="35600" s="1"/>
  <c r="K355" i="35600"/>
  <c r="Y295" i="35572"/>
  <c r="Y231" i="35572"/>
  <c r="Y167" i="35572"/>
  <c r="Y104" i="35572"/>
  <c r="AA146" i="35601"/>
  <c r="AA215" i="35601"/>
  <c r="AA73" i="35601"/>
  <c r="AA212" i="35601"/>
  <c r="AA229" i="35601"/>
  <c r="AA151" i="35601"/>
  <c r="AA87" i="35601"/>
  <c r="AA314" i="35601"/>
  <c r="Y323" i="35572"/>
  <c r="Y195" i="35572"/>
  <c r="Y132" i="35572"/>
  <c r="Y68" i="35572"/>
  <c r="AA106" i="35601"/>
  <c r="AA42" i="35601"/>
  <c r="AA293" i="35601"/>
  <c r="AA357" i="35601"/>
  <c r="Y344" i="35572"/>
  <c r="Y280" i="35572"/>
  <c r="Y216" i="35572"/>
  <c r="Y152" i="35572"/>
  <c r="Y87" i="35572"/>
  <c r="Y23" i="35572"/>
  <c r="AA219" i="35601"/>
  <c r="AA77" i="35601"/>
  <c r="AA284" i="35601"/>
  <c r="AA348" i="35601"/>
  <c r="Y353" i="35572"/>
  <c r="Y289" i="35572"/>
  <c r="Y225" i="35572"/>
  <c r="Y161" i="35572"/>
  <c r="Y98" i="35572"/>
  <c r="AA140" i="35601"/>
  <c r="AA76" i="35601"/>
  <c r="AA259" i="35601"/>
  <c r="AA323" i="35601"/>
  <c r="Y378" i="35572"/>
  <c r="Y314" i="35572"/>
  <c r="Y250" i="35572"/>
  <c r="Y186" i="35572"/>
  <c r="Y121" i="35572"/>
  <c r="Y57" i="35572"/>
  <c r="AA118" i="35601"/>
  <c r="AA281" i="35601"/>
  <c r="Y356" i="35572"/>
  <c r="Y228" i="35572"/>
  <c r="Y99" i="35572"/>
  <c r="AA243" i="35601"/>
  <c r="AA294" i="35601"/>
  <c r="AA358" i="35601"/>
  <c r="Y343" i="35572"/>
  <c r="Y279" i="35572"/>
  <c r="Y215" i="35572"/>
  <c r="Y151" i="35572"/>
  <c r="Y88" i="35572"/>
  <c r="Y24" i="35572"/>
  <c r="AA230" i="35601"/>
  <c r="AA179" i="35601"/>
  <c r="AA41" i="35601"/>
  <c r="AA196" i="35601"/>
  <c r="AA213" i="35601"/>
  <c r="AA135" i="35601"/>
  <c r="AA71" i="35601"/>
  <c r="AA266" i="35601"/>
  <c r="AA330" i="35601"/>
  <c r="Y371" i="35572"/>
  <c r="Y307" i="35572"/>
  <c r="Y243" i="35572"/>
  <c r="Y179" i="35572"/>
  <c r="Y52" i="35572"/>
  <c r="AA158" i="35601"/>
  <c r="AA90" i="35601"/>
  <c r="AA26" i="35601"/>
  <c r="AA309" i="35601"/>
  <c r="AA373" i="35601"/>
  <c r="Y328" i="35572"/>
  <c r="Y264" i="35572"/>
  <c r="Y200" i="35572"/>
  <c r="Y135" i="35572"/>
  <c r="Y71" i="35572"/>
  <c r="AA234" i="35601"/>
  <c r="AA187" i="35601"/>
  <c r="AA45" i="35601"/>
  <c r="AA300" i="35601"/>
  <c r="AA364" i="35601"/>
  <c r="Y337" i="35572"/>
  <c r="Y273" i="35572"/>
  <c r="Y209" i="35572"/>
  <c r="Y145" i="35572"/>
  <c r="Y82" i="35572"/>
  <c r="Y19" i="35572"/>
  <c r="AA124" i="35601"/>
  <c r="AA60" i="35601"/>
  <c r="AA275" i="35601"/>
  <c r="AA339" i="35601"/>
  <c r="Y362" i="35572"/>
  <c r="Y298" i="35572"/>
  <c r="Y234" i="35572"/>
  <c r="Y170" i="35572"/>
  <c r="Y105" i="35572"/>
  <c r="Y41" i="35572"/>
  <c r="AA38" i="35601"/>
  <c r="AA361" i="35601"/>
  <c r="Y276" i="35572"/>
  <c r="Y148" i="35572"/>
  <c r="Y18" i="35572"/>
  <c r="AA211" i="35601"/>
  <c r="AA69" i="35601"/>
  <c r="AA288" i="35601"/>
  <c r="AA352" i="35601"/>
  <c r="Y349" i="35572"/>
  <c r="Y285" i="35572"/>
  <c r="Y221" i="35572"/>
  <c r="Y157" i="35572"/>
  <c r="Y94" i="35572"/>
  <c r="Y30" i="35572"/>
  <c r="AA136" i="35601"/>
  <c r="AA72" i="35601"/>
  <c r="AA263" i="35601"/>
  <c r="AA327" i="35601"/>
  <c r="Y374" i="35572"/>
  <c r="Y310" i="35572"/>
  <c r="Y246" i="35572"/>
  <c r="Y182" i="35572"/>
  <c r="Y117" i="35572"/>
  <c r="Y53" i="35572"/>
  <c r="AA54" i="35601"/>
  <c r="Y324" i="35572"/>
  <c r="AA378" i="35601"/>
  <c r="AA223" i="35601"/>
  <c r="AA81" i="35601"/>
  <c r="AA216" i="35601"/>
  <c r="AA233" i="35601"/>
  <c r="AA155" i="35601"/>
  <c r="AA91" i="35601"/>
  <c r="AA27" i="35601"/>
  <c r="AA310" i="35601"/>
  <c r="AA374" i="35601"/>
  <c r="Y327" i="35572"/>
  <c r="Y263" i="35572"/>
  <c r="Y199" i="35572"/>
  <c r="Y136" i="35572"/>
  <c r="Y72" i="35572"/>
  <c r="AA178" i="35601"/>
  <c r="AA198" i="35601"/>
  <c r="AA137" i="35601"/>
  <c r="AA244" i="35601"/>
  <c r="AA173" i="35601"/>
  <c r="AA119" i="35601"/>
  <c r="AA282" i="35601"/>
  <c r="AA346" i="35601"/>
  <c r="Y355" i="35572"/>
  <c r="Y291" i="35572"/>
  <c r="Y163" i="35572"/>
  <c r="AA138" i="35601"/>
  <c r="AA74" i="35601"/>
  <c r="AA261" i="35601"/>
  <c r="AA325" i="35601"/>
  <c r="Y376" i="35572"/>
  <c r="Y312" i="35572"/>
  <c r="Y248" i="35572"/>
  <c r="Y184" i="35572"/>
  <c r="Y119" i="35572"/>
  <c r="Y55" i="35572"/>
  <c r="AA202" i="35601"/>
  <c r="AA141" i="35601"/>
  <c r="AA21" i="35601"/>
  <c r="AA316" i="35601"/>
  <c r="AA380" i="35601"/>
  <c r="Y321" i="35572"/>
  <c r="Y257" i="35572"/>
  <c r="Y193" i="35572"/>
  <c r="Y130" i="35572"/>
  <c r="Y66" i="35572"/>
  <c r="AA172" i="35601"/>
  <c r="AA108" i="35601"/>
  <c r="AA44" i="35601"/>
  <c r="AA291" i="35601"/>
  <c r="AA355" i="35601"/>
  <c r="Y346" i="35572"/>
  <c r="Y282" i="35572"/>
  <c r="Y218" i="35572"/>
  <c r="Y154" i="35572"/>
  <c r="Y89" i="35572"/>
  <c r="Y25" i="35572"/>
  <c r="AA22" i="35601"/>
  <c r="AA377" i="35601"/>
  <c r="Y260" i="35572"/>
  <c r="Y131" i="35572"/>
  <c r="AA226" i="35601"/>
  <c r="AA171" i="35601"/>
  <c r="AA304" i="35601"/>
  <c r="Y333" i="35572"/>
  <c r="Y205" i="35572"/>
  <c r="Y78" i="35572"/>
  <c r="AA120" i="35601"/>
  <c r="AA279" i="35601"/>
  <c r="Y358" i="35572"/>
  <c r="Y230" i="35572"/>
  <c r="Y101" i="35572"/>
  <c r="W184" i="35601"/>
  <c r="K372" i="35600"/>
  <c r="G372" i="35600"/>
  <c r="J372" i="35600" s="1"/>
  <c r="M372" i="35600"/>
  <c r="L372" i="35600" s="1"/>
  <c r="K370" i="35600"/>
  <c r="M370" i="35600"/>
  <c r="L370" i="35600" s="1"/>
  <c r="G370" i="35600"/>
  <c r="J370" i="35600" s="1"/>
  <c r="K373" i="35600"/>
  <c r="G373" i="35600"/>
  <c r="J373" i="35600" s="1"/>
  <c r="M373" i="35600"/>
  <c r="L373" i="35600" s="1"/>
  <c r="W185" i="35601"/>
  <c r="V103" i="35601"/>
  <c r="W189" i="35601"/>
  <c r="F64" i="35600"/>
  <c r="K65" i="35600"/>
  <c r="M65" i="35600"/>
  <c r="L65" i="35600" s="1"/>
  <c r="G65" i="35600"/>
  <c r="J65" i="35600" s="1"/>
  <c r="Y20" i="35572"/>
  <c r="U385" i="35572"/>
  <c r="K198" i="35600"/>
  <c r="M198" i="35600"/>
  <c r="L198" i="35600" s="1"/>
  <c r="G198" i="35600"/>
  <c r="J198" i="35600" s="1"/>
  <c r="G206" i="35600"/>
  <c r="J206" i="35600" s="1"/>
  <c r="M206" i="35600"/>
  <c r="L206" i="35600" s="1"/>
  <c r="K206" i="35600"/>
  <c r="G214" i="35600"/>
  <c r="J214" i="35600" s="1"/>
  <c r="M214" i="35600"/>
  <c r="L214" i="35600" s="1"/>
  <c r="K214" i="35600"/>
  <c r="G203" i="35600"/>
  <c r="J203" i="35600" s="1"/>
  <c r="K203" i="35600"/>
  <c r="M203" i="35600"/>
  <c r="L203" i="35600" s="1"/>
  <c r="M211" i="35600"/>
  <c r="L211" i="35600" s="1"/>
  <c r="K211" i="35600"/>
  <c r="G211" i="35600"/>
  <c r="J211" i="35600" s="1"/>
  <c r="G200" i="35600"/>
  <c r="J200" i="35600" s="1"/>
  <c r="K200" i="35600"/>
  <c r="M200" i="35600"/>
  <c r="L200" i="35600" s="1"/>
  <c r="M208" i="35600"/>
  <c r="L208" i="35600" s="1"/>
  <c r="K208" i="35600"/>
  <c r="G208" i="35600"/>
  <c r="J208" i="35600" s="1"/>
  <c r="G197" i="35600"/>
  <c r="J197" i="35600" s="1"/>
  <c r="M197" i="35600"/>
  <c r="L197" i="35600" s="1"/>
  <c r="K197" i="35600"/>
  <c r="M205" i="35600"/>
  <c r="L205" i="35600" s="1"/>
  <c r="G205" i="35600"/>
  <c r="J205" i="35600" s="1"/>
  <c r="K205" i="35600"/>
  <c r="M215" i="35600"/>
  <c r="L215" i="35600" s="1"/>
  <c r="G215" i="35600"/>
  <c r="J215" i="35600" s="1"/>
  <c r="K215" i="35600"/>
  <c r="U385" i="35601"/>
  <c r="AA20" i="35601"/>
  <c r="F410" i="35600"/>
  <c r="F414" i="35600"/>
  <c r="F418" i="35600"/>
  <c r="F413" i="35600"/>
  <c r="F417" i="35600"/>
  <c r="F412" i="35600"/>
  <c r="F416" i="35600"/>
  <c r="F411" i="35600"/>
  <c r="F415" i="35600"/>
  <c r="F419" i="35600"/>
  <c r="K202" i="35600"/>
  <c r="G202" i="35600"/>
  <c r="J202" i="35600" s="1"/>
  <c r="M202" i="35600"/>
  <c r="L202" i="35600" s="1"/>
  <c r="M210" i="35600"/>
  <c r="L210" i="35600" s="1"/>
  <c r="K210" i="35600"/>
  <c r="G210" i="35600"/>
  <c r="J210" i="35600" s="1"/>
  <c r="G199" i="35600"/>
  <c r="J199" i="35600" s="1"/>
  <c r="M199" i="35600"/>
  <c r="L199" i="35600" s="1"/>
  <c r="K199" i="35600"/>
  <c r="G207" i="35600"/>
  <c r="J207" i="35600" s="1"/>
  <c r="M207" i="35600"/>
  <c r="L207" i="35600" s="1"/>
  <c r="K207" i="35600"/>
  <c r="G213" i="35600"/>
  <c r="J213" i="35600" s="1"/>
  <c r="M213" i="35600"/>
  <c r="L213" i="35600" s="1"/>
  <c r="K213" i="35600"/>
  <c r="G196" i="35600"/>
  <c r="J196" i="35600" s="1"/>
  <c r="K196" i="35600"/>
  <c r="M196" i="35600"/>
  <c r="L196" i="35600" s="1"/>
  <c r="K204" i="35600"/>
  <c r="M204" i="35600"/>
  <c r="L204" i="35600" s="1"/>
  <c r="G204" i="35600"/>
  <c r="J204" i="35600" s="1"/>
  <c r="G212" i="35600"/>
  <c r="J212" i="35600" s="1"/>
  <c r="M212" i="35600"/>
  <c r="L212" i="35600" s="1"/>
  <c r="K212" i="35600"/>
  <c r="M201" i="35600"/>
  <c r="L201" i="35600" s="1"/>
  <c r="K201" i="35600"/>
  <c r="G201" i="35600"/>
  <c r="J201" i="35600" s="1"/>
  <c r="M209" i="35600"/>
  <c r="L209" i="35600" s="1"/>
  <c r="K209" i="35600"/>
  <c r="G209" i="35600"/>
  <c r="J209" i="35600" s="1"/>
  <c r="K195" i="35600"/>
  <c r="G195" i="35600"/>
  <c r="J195" i="35600" s="1"/>
  <c r="M195" i="35600"/>
  <c r="L195" i="35600" s="1"/>
  <c r="V147" i="35572"/>
  <c r="V239" i="35572"/>
  <c r="V105" i="35572"/>
  <c r="V271" i="35572"/>
  <c r="V98" i="35572"/>
  <c r="V258" i="35572"/>
  <c r="V257" i="35572"/>
  <c r="V86" i="35572"/>
  <c r="V252" i="35572"/>
  <c r="V380" i="35572"/>
  <c r="V292" i="35572"/>
  <c r="V164" i="35572"/>
  <c r="V313" i="35572"/>
  <c r="V330" i="35572"/>
  <c r="V202" i="35572"/>
  <c r="V343" i="35572"/>
  <c r="V221" i="35572"/>
  <c r="V124" i="35572"/>
  <c r="V167" i="35572"/>
  <c r="V69" i="35572"/>
  <c r="V328" i="35572"/>
  <c r="V264" i="35572"/>
  <c r="V200" i="35572"/>
  <c r="V113" i="35572"/>
  <c r="V349" i="35572"/>
  <c r="V285" i="35572"/>
  <c r="V358" i="35572"/>
  <c r="V60" i="35572"/>
  <c r="V165" i="35572"/>
  <c r="V136" i="35572"/>
  <c r="V273" i="35572"/>
  <c r="V268" i="35572"/>
  <c r="V308" i="35572"/>
  <c r="V329" i="35572"/>
  <c r="V218" i="35572"/>
  <c r="V237" i="35572"/>
  <c r="V183" i="35572"/>
  <c r="V336" i="35572"/>
  <c r="V208" i="35572"/>
  <c r="V357" i="35572"/>
  <c r="V366" i="35572"/>
  <c r="V278" i="35572"/>
  <c r="V214" i="35572"/>
  <c r="V144" i="35572"/>
  <c r="V347" i="35572"/>
  <c r="V283" i="35572"/>
  <c r="V225" i="35572"/>
  <c r="V161" i="35572"/>
  <c r="V145" i="35572"/>
  <c r="V75" i="35572"/>
  <c r="V203" i="35572"/>
  <c r="V120" i="35572"/>
  <c r="V117" i="35572"/>
  <c r="V55" i="35572"/>
  <c r="V47" i="35572"/>
  <c r="V34" i="35572"/>
  <c r="V27" i="35572"/>
  <c r="V20" i="35572"/>
  <c r="V223" i="35572"/>
  <c r="V255" i="35572"/>
  <c r="V242" i="35572"/>
  <c r="V369" i="35572"/>
  <c r="V364" i="35572"/>
  <c r="V140" i="35572"/>
  <c r="V314" i="35572"/>
  <c r="V327" i="35572"/>
  <c r="V103" i="35572"/>
  <c r="V114" i="35572"/>
  <c r="V256" i="35572"/>
  <c r="V94" i="35572"/>
  <c r="V277" i="35572"/>
  <c r="V302" i="35572"/>
  <c r="V238" i="35572"/>
  <c r="V174" i="35572"/>
  <c r="V371" i="35572"/>
  <c r="V307" i="35572"/>
  <c r="V249" i="35572"/>
  <c r="V185" i="35572"/>
  <c r="V80" i="35572"/>
  <c r="V99" i="35572"/>
  <c r="V227" i="35572"/>
  <c r="V163" i="35572"/>
  <c r="V143" i="35572"/>
  <c r="V65" i="35572"/>
  <c r="V52" i="35572"/>
  <c r="V45" i="35572"/>
  <c r="V39" i="35572"/>
  <c r="V30" i="35572"/>
  <c r="V22" i="35572"/>
  <c r="V33" i="35572"/>
  <c r="V112" i="35572"/>
  <c r="V130" i="35572"/>
  <c r="V79" i="35572"/>
  <c r="V181" i="35572"/>
  <c r="V303" i="35572"/>
  <c r="V162" i="35572"/>
  <c r="V290" i="35572"/>
  <c r="V289" i="35572"/>
  <c r="V156" i="35572"/>
  <c r="V284" i="35572"/>
  <c r="V111" i="35572"/>
  <c r="V260" i="35572"/>
  <c r="V102" i="35572"/>
  <c r="V281" i="35572"/>
  <c r="V298" i="35572"/>
  <c r="V170" i="35572"/>
  <c r="V311" i="35572"/>
  <c r="V189" i="35572"/>
  <c r="V87" i="35572"/>
  <c r="V110" i="35572"/>
  <c r="V376" i="35572"/>
  <c r="V312" i="35572"/>
  <c r="V248" i="35572"/>
  <c r="V184" i="35572"/>
  <c r="V78" i="35572"/>
  <c r="V333" i="35572"/>
  <c r="V269" i="35572"/>
  <c r="V342" i="35572"/>
  <c r="V191" i="35572"/>
  <c r="V229" i="35572"/>
  <c r="V210" i="35572"/>
  <c r="V337" i="35572"/>
  <c r="V332" i="35572"/>
  <c r="V244" i="35572"/>
  <c r="V265" i="35572"/>
  <c r="V152" i="35572"/>
  <c r="V173" i="35572"/>
  <c r="V76" i="35572"/>
  <c r="V304" i="35572"/>
  <c r="V176" i="35572"/>
  <c r="V325" i="35572"/>
  <c r="V334" i="35572"/>
  <c r="V262" i="35572"/>
  <c r="V198" i="35572"/>
  <c r="V90" i="35572"/>
  <c r="V331" i="35572"/>
  <c r="V267" i="35572"/>
  <c r="V209" i="35572"/>
  <c r="V134" i="35572"/>
  <c r="V129" i="35572"/>
  <c r="V59" i="35572"/>
  <c r="V187" i="35572"/>
  <c r="V84" i="35572"/>
  <c r="V89" i="35572"/>
  <c r="V53" i="35572"/>
  <c r="V43" i="35572"/>
  <c r="V32" i="35572"/>
  <c r="V25" i="35572"/>
  <c r="V107" i="35572"/>
  <c r="V95" i="35572"/>
  <c r="V319" i="35572"/>
  <c r="V306" i="35572"/>
  <c r="V172" i="35572"/>
  <c r="V340" i="35572"/>
  <c r="V361" i="35572"/>
  <c r="V250" i="35572"/>
  <c r="V263" i="35572"/>
  <c r="V215" i="35572"/>
  <c r="V352" i="35572"/>
  <c r="V224" i="35572"/>
  <c r="V373" i="35572"/>
  <c r="V382" i="35572"/>
  <c r="V286" i="35572"/>
  <c r="V222" i="35572"/>
  <c r="V158" i="35572"/>
  <c r="V355" i="35572"/>
  <c r="V291" i="35572"/>
  <c r="V233" i="35572"/>
  <c r="V169" i="35572"/>
  <c r="V153" i="35572"/>
  <c r="V83" i="35572"/>
  <c r="V211" i="35572"/>
  <c r="V138" i="35572"/>
  <c r="V127" i="35572"/>
  <c r="V58" i="35572"/>
  <c r="V50" i="35572"/>
  <c r="V44" i="35572"/>
  <c r="V38" i="35572"/>
  <c r="V28" i="35572"/>
  <c r="V19" i="35572"/>
  <c r="V61" i="35572"/>
  <c r="V85" i="35572"/>
  <c r="V106" i="35572"/>
  <c r="V175" i="35572"/>
  <c r="V115" i="35572"/>
  <c r="V213" i="35572"/>
  <c r="V335" i="35572"/>
  <c r="V194" i="35572"/>
  <c r="V322" i="35572"/>
  <c r="V321" i="35572"/>
  <c r="V188" i="35572"/>
  <c r="V316" i="35572"/>
  <c r="V356" i="35572"/>
  <c r="V228" i="35572"/>
  <c r="V377" i="35572"/>
  <c r="V122" i="35572"/>
  <c r="V266" i="35572"/>
  <c r="V118" i="35572"/>
  <c r="V279" i="35572"/>
  <c r="V157" i="35572"/>
  <c r="V231" i="35572"/>
  <c r="V155" i="35572"/>
  <c r="V360" i="35572"/>
  <c r="V296" i="35572"/>
  <c r="V232" i="35572"/>
  <c r="V168" i="35572"/>
  <c r="V381" i="35572"/>
  <c r="V317" i="35572"/>
  <c r="V251" i="35572"/>
  <c r="V326" i="35572"/>
  <c r="V63" i="35572"/>
  <c r="V287" i="35572"/>
  <c r="V274" i="35572"/>
  <c r="V123" i="35572"/>
  <c r="V126" i="35572"/>
  <c r="V180" i="35572"/>
  <c r="V346" i="35572"/>
  <c r="V359" i="35572"/>
  <c r="V141" i="35572"/>
  <c r="V101" i="35572"/>
  <c r="V272" i="35572"/>
  <c r="V132" i="35572"/>
  <c r="V293" i="35572"/>
  <c r="V310" i="35572"/>
  <c r="V246" i="35572"/>
  <c r="V182" i="35572"/>
  <c r="V379" i="35572"/>
  <c r="V315" i="35572"/>
  <c r="V247" i="35572"/>
  <c r="V193" i="35572"/>
  <c r="V96" i="35572"/>
  <c r="V109" i="35572"/>
  <c r="V235" i="35572"/>
  <c r="V171" i="35572"/>
  <c r="V151" i="35572"/>
  <c r="V73" i="35572"/>
  <c r="V51" i="35572"/>
  <c r="V41" i="35572"/>
  <c r="V31" i="35572"/>
  <c r="V23" i="35572"/>
  <c r="V131" i="35572"/>
  <c r="V72" i="35572"/>
  <c r="V66" i="35572"/>
  <c r="V370" i="35572"/>
  <c r="V236" i="35572"/>
  <c r="V276" i="35572"/>
  <c r="V297" i="35572"/>
  <c r="V186" i="35572"/>
  <c r="V205" i="35572"/>
  <c r="V146" i="35572"/>
  <c r="V320" i="35572"/>
  <c r="V192" i="35572"/>
  <c r="V341" i="35572"/>
  <c r="V350" i="35572"/>
  <c r="V270" i="35572"/>
  <c r="V206" i="35572"/>
  <c r="V128" i="35572"/>
  <c r="V339" i="35572"/>
  <c r="V275" i="35572"/>
  <c r="V217" i="35572"/>
  <c r="V150" i="35572"/>
  <c r="V137" i="35572"/>
  <c r="V67" i="35572"/>
  <c r="V195" i="35572"/>
  <c r="V100" i="35572"/>
  <c r="V97" i="35572"/>
  <c r="V56" i="35572"/>
  <c r="V48" i="35572"/>
  <c r="V42" i="35572"/>
  <c r="V37" i="35572"/>
  <c r="V26" i="35572"/>
  <c r="V18" i="35572"/>
  <c r="V92" i="35572"/>
  <c r="V142" i="35572"/>
  <c r="V93" i="35572"/>
  <c r="V207" i="35572"/>
  <c r="V149" i="35572"/>
  <c r="V245" i="35572"/>
  <c r="V367" i="35572"/>
  <c r="V226" i="35572"/>
  <c r="V354" i="35572"/>
  <c r="V353" i="35572"/>
  <c r="V220" i="35572"/>
  <c r="V348" i="35572"/>
  <c r="V324" i="35572"/>
  <c r="V196" i="35572"/>
  <c r="V345" i="35572"/>
  <c r="V362" i="35572"/>
  <c r="V234" i="35572"/>
  <c r="V375" i="35572"/>
  <c r="V253" i="35572"/>
  <c r="V88" i="35572"/>
  <c r="V199" i="35572"/>
  <c r="V121" i="35572"/>
  <c r="V344" i="35572"/>
  <c r="V280" i="35572"/>
  <c r="V216" i="35572"/>
  <c r="V148" i="35572"/>
  <c r="V365" i="35572"/>
  <c r="V301" i="35572"/>
  <c r="V374" i="35572"/>
  <c r="V77" i="35572"/>
  <c r="V133" i="35572"/>
  <c r="V351" i="35572"/>
  <c r="V338" i="35572"/>
  <c r="V204" i="35572"/>
  <c r="V372" i="35572"/>
  <c r="V70" i="35572"/>
  <c r="V282" i="35572"/>
  <c r="V295" i="35572"/>
  <c r="V71" i="35572"/>
  <c r="V368" i="35572"/>
  <c r="V240" i="35572"/>
  <c r="V62" i="35572"/>
  <c r="V261" i="35572"/>
  <c r="V294" i="35572"/>
  <c r="V230" i="35572"/>
  <c r="V166" i="35572"/>
  <c r="V363" i="35572"/>
  <c r="V299" i="35572"/>
  <c r="V241" i="35572"/>
  <c r="V177" i="35572"/>
  <c r="V64" i="35572"/>
  <c r="V91" i="35572"/>
  <c r="V219" i="35572"/>
  <c r="V154" i="35572"/>
  <c r="V135" i="35572"/>
  <c r="V57" i="35572"/>
  <c r="V49" i="35572"/>
  <c r="V35" i="35572"/>
  <c r="V29" i="35572"/>
  <c r="V21" i="35572"/>
  <c r="V159" i="35572"/>
  <c r="V197" i="35572"/>
  <c r="V178" i="35572"/>
  <c r="V305" i="35572"/>
  <c r="V300" i="35572"/>
  <c r="V212" i="35572"/>
  <c r="V378" i="35572"/>
  <c r="V82" i="35572"/>
  <c r="V125" i="35572"/>
  <c r="V139" i="35572"/>
  <c r="V288" i="35572"/>
  <c r="V160" i="35572"/>
  <c r="V309" i="35572"/>
  <c r="V318" i="35572"/>
  <c r="V254" i="35572"/>
  <c r="V190" i="35572"/>
  <c r="V74" i="35572"/>
  <c r="V323" i="35572"/>
  <c r="V259" i="35572"/>
  <c r="V201" i="35572"/>
  <c r="V116" i="35572"/>
  <c r="V119" i="35572"/>
  <c r="V243" i="35572"/>
  <c r="V179" i="35572"/>
  <c r="V68" i="35572"/>
  <c r="V81" i="35572"/>
  <c r="V54" i="35572"/>
  <c r="V46" i="35572"/>
  <c r="V40" i="35572"/>
  <c r="V36" i="35572"/>
  <c r="V24" i="35572"/>
  <c r="V108" i="35572"/>
  <c r="V104" i="35572"/>
  <c r="W195" i="35572"/>
  <c r="W235" i="35572"/>
  <c r="W304" i="35572"/>
  <c r="W368" i="35572"/>
  <c r="W177" i="35572"/>
  <c r="W278" i="35572"/>
  <c r="W342" i="35572"/>
  <c r="W377" i="35572"/>
  <c r="W345" i="35572"/>
  <c r="W313" i="35572"/>
  <c r="W281" i="35572"/>
  <c r="W249" i="35572"/>
  <c r="W183" i="35572"/>
  <c r="W119" i="35572"/>
  <c r="W122" i="35572"/>
  <c r="W154" i="35572"/>
  <c r="W191" i="35572"/>
  <c r="W231" i="35572"/>
  <c r="W173" i="35572"/>
  <c r="W276" i="35572"/>
  <c r="W340" i="35572"/>
  <c r="W121" i="35572"/>
  <c r="W149" i="35572"/>
  <c r="W272" i="35572"/>
  <c r="W336" i="35572"/>
  <c r="W113" i="35572"/>
  <c r="W246" i="35572"/>
  <c r="W310" i="35572"/>
  <c r="W374" i="35572"/>
  <c r="W361" i="35572"/>
  <c r="W329" i="35572"/>
  <c r="W297" i="35572"/>
  <c r="W265" i="35572"/>
  <c r="W219" i="35572"/>
  <c r="W151" i="35572"/>
  <c r="W106" i="35572"/>
  <c r="W138" i="35572"/>
  <c r="W174" i="35572"/>
  <c r="W214" i="35572"/>
  <c r="W109" i="35572"/>
  <c r="W243" i="35572"/>
  <c r="W308" i="35572"/>
  <c r="W372" i="35572"/>
  <c r="W203" i="35572"/>
  <c r="W298" i="35572"/>
  <c r="W362" i="35572"/>
  <c r="W363" i="35572"/>
  <c r="W331" i="35572"/>
  <c r="W299" i="35572"/>
  <c r="W267" i="35572"/>
  <c r="W223" i="35572"/>
  <c r="W131" i="35572"/>
  <c r="W120" i="35572"/>
  <c r="W152" i="35572"/>
  <c r="W184" i="35572"/>
  <c r="W224" i="35572"/>
  <c r="W165" i="35572"/>
  <c r="W344" i="35572"/>
  <c r="W330" i="35572"/>
  <c r="W347" i="35572"/>
  <c r="W283" i="35572"/>
  <c r="W171" i="35572"/>
  <c r="W136" i="35572"/>
  <c r="W207" i="35572"/>
  <c r="W280" i="35572"/>
  <c r="W254" i="35572"/>
  <c r="W382" i="35572"/>
  <c r="W325" i="35572"/>
  <c r="W261" i="35572"/>
  <c r="W143" i="35572"/>
  <c r="W142" i="35572"/>
  <c r="W218" i="35572"/>
  <c r="W252" i="35572"/>
  <c r="W380" i="35572"/>
  <c r="W306" i="35572"/>
  <c r="W359" i="35572"/>
  <c r="W295" i="35572"/>
  <c r="W215" i="35572"/>
  <c r="W124" i="35572"/>
  <c r="W188" i="35572"/>
  <c r="W97" i="35572"/>
  <c r="W89" i="35572"/>
  <c r="W81" i="35572"/>
  <c r="W73" i="35572"/>
  <c r="W66" i="35572"/>
  <c r="W60" i="35572"/>
  <c r="W54" i="35572"/>
  <c r="W42" i="35572"/>
  <c r="W34" i="35572"/>
  <c r="W26" i="35572"/>
  <c r="W18" i="35572"/>
  <c r="W133" i="35572"/>
  <c r="W328" i="35572"/>
  <c r="W230" i="35572"/>
  <c r="W366" i="35572"/>
  <c r="W333" i="35572"/>
  <c r="W269" i="35572"/>
  <c r="W159" i="35572"/>
  <c r="W134" i="35572"/>
  <c r="W209" i="35572"/>
  <c r="W225" i="35572"/>
  <c r="W364" i="35572"/>
  <c r="W290" i="35572"/>
  <c r="W367" i="35572"/>
  <c r="W303" i="35572"/>
  <c r="W232" i="35572"/>
  <c r="W116" i="35572"/>
  <c r="W180" i="35572"/>
  <c r="W99" i="35572"/>
  <c r="W91" i="35572"/>
  <c r="W83" i="35572"/>
  <c r="W75" i="35572"/>
  <c r="W64" i="35572"/>
  <c r="W52" i="35572"/>
  <c r="W46" i="35572"/>
  <c r="W39" i="35572"/>
  <c r="W31" i="35572"/>
  <c r="W23" i="35572"/>
  <c r="W104" i="35572"/>
  <c r="W166" i="35572"/>
  <c r="W117" i="35572"/>
  <c r="W256" i="35572"/>
  <c r="W320" i="35572"/>
  <c r="W199" i="35572"/>
  <c r="W213" i="35572"/>
  <c r="W294" i="35572"/>
  <c r="W358" i="35572"/>
  <c r="W369" i="35572"/>
  <c r="W337" i="35572"/>
  <c r="W305" i="35572"/>
  <c r="W273" i="35572"/>
  <c r="W237" i="35572"/>
  <c r="W167" i="35572"/>
  <c r="W103" i="35572"/>
  <c r="W130" i="35572"/>
  <c r="W162" i="35572"/>
  <c r="W205" i="35572"/>
  <c r="W240" i="35572"/>
  <c r="W208" i="35572"/>
  <c r="W292" i="35572"/>
  <c r="W356" i="35572"/>
  <c r="W169" i="35572"/>
  <c r="W282" i="35572"/>
  <c r="W346" i="35572"/>
  <c r="W371" i="35572"/>
  <c r="W339" i="35572"/>
  <c r="W307" i="35572"/>
  <c r="W275" i="35572"/>
  <c r="W241" i="35572"/>
  <c r="W147" i="35572"/>
  <c r="W112" i="35572"/>
  <c r="W144" i="35572"/>
  <c r="W176" i="35572"/>
  <c r="W216" i="35572"/>
  <c r="W101" i="35572"/>
  <c r="W312" i="35572"/>
  <c r="W194" i="35572"/>
  <c r="W350" i="35572"/>
  <c r="W341" i="35572"/>
  <c r="W277" i="35572"/>
  <c r="W175" i="35572"/>
  <c r="W126" i="35572"/>
  <c r="W200" i="35572"/>
  <c r="W189" i="35572"/>
  <c r="W348" i="35572"/>
  <c r="W274" i="35572"/>
  <c r="W375" i="35572"/>
  <c r="W311" i="35572"/>
  <c r="W247" i="35572"/>
  <c r="W108" i="35572"/>
  <c r="W172" i="35572"/>
  <c r="W98" i="35572"/>
  <c r="W90" i="35572"/>
  <c r="W82" i="35572"/>
  <c r="W74" i="35572"/>
  <c r="W69" i="35572"/>
  <c r="W61" i="35572"/>
  <c r="W56" i="35572"/>
  <c r="W45" i="35572"/>
  <c r="W37" i="35572"/>
  <c r="W29" i="35572"/>
  <c r="W20" i="35572"/>
  <c r="W198" i="35572"/>
  <c r="W296" i="35572"/>
  <c r="W161" i="35572"/>
  <c r="W334" i="35572"/>
  <c r="W349" i="35572"/>
  <c r="W285" i="35572"/>
  <c r="W192" i="35572"/>
  <c r="W118" i="35572"/>
  <c r="W186" i="35572"/>
  <c r="W157" i="35572"/>
  <c r="W332" i="35572"/>
  <c r="W250" i="35572"/>
  <c r="W204" i="35572"/>
  <c r="W319" i="35572"/>
  <c r="W255" i="35572"/>
  <c r="W107" i="35572"/>
  <c r="W164" i="35572"/>
  <c r="W238" i="35572"/>
  <c r="W92" i="35572"/>
  <c r="W84" i="35572"/>
  <c r="W76" i="35572"/>
  <c r="W67" i="35572"/>
  <c r="W55" i="35572"/>
  <c r="W47" i="35572"/>
  <c r="W40" i="35572"/>
  <c r="W32" i="35572"/>
  <c r="W24" i="35572"/>
  <c r="W197" i="35572"/>
  <c r="W206" i="35572"/>
  <c r="W258" i="35572"/>
  <c r="W379" i="35572"/>
  <c r="W315" i="35572"/>
  <c r="W251" i="35572"/>
  <c r="W100" i="35572"/>
  <c r="W168" i="35572"/>
  <c r="W242" i="35572"/>
  <c r="W129" i="35572"/>
  <c r="W318" i="35572"/>
  <c r="W357" i="35572"/>
  <c r="W293" i="35572"/>
  <c r="W211" i="35572"/>
  <c r="W110" i="35572"/>
  <c r="W178" i="35572"/>
  <c r="W125" i="35572"/>
  <c r="W316" i="35572"/>
  <c r="W221" i="35572"/>
  <c r="W370" i="35572"/>
  <c r="W327" i="35572"/>
  <c r="W263" i="35572"/>
  <c r="W123" i="35572"/>
  <c r="W156" i="35572"/>
  <c r="W229" i="35572"/>
  <c r="W93" i="35572"/>
  <c r="W85" i="35572"/>
  <c r="W77" i="35572"/>
  <c r="W70" i="35572"/>
  <c r="W62" i="35572"/>
  <c r="W57" i="35572"/>
  <c r="W48" i="35572"/>
  <c r="W38" i="35572"/>
  <c r="W30" i="35572"/>
  <c r="W21" i="35572"/>
  <c r="W196" i="35572"/>
  <c r="W264" i="35572"/>
  <c r="W226" i="35572"/>
  <c r="W302" i="35572"/>
  <c r="W365" i="35572"/>
  <c r="W301" i="35572"/>
  <c r="W228" i="35572"/>
  <c r="W102" i="35572"/>
  <c r="W170" i="35572"/>
  <c r="W244" i="35572"/>
  <c r="W300" i="35572"/>
  <c r="W185" i="35572"/>
  <c r="W354" i="35572"/>
  <c r="W335" i="35572"/>
  <c r="W271" i="35572"/>
  <c r="W139" i="35572"/>
  <c r="W148" i="35572"/>
  <c r="W220" i="35572"/>
  <c r="W95" i="35572"/>
  <c r="W87" i="35572"/>
  <c r="W79" i="35572"/>
  <c r="W68" i="35572"/>
  <c r="W59" i="35572"/>
  <c r="W50" i="35572"/>
  <c r="W43" i="35572"/>
  <c r="W35" i="35572"/>
  <c r="W27" i="35572"/>
  <c r="W19" i="35572"/>
  <c r="W49" i="35572"/>
  <c r="W153" i="35572"/>
  <c r="W181" i="35572"/>
  <c r="W288" i="35572"/>
  <c r="W352" i="35572"/>
  <c r="W145" i="35572"/>
  <c r="W262" i="35572"/>
  <c r="W326" i="35572"/>
  <c r="W210" i="35572"/>
  <c r="W353" i="35572"/>
  <c r="W321" i="35572"/>
  <c r="W289" i="35572"/>
  <c r="W257" i="35572"/>
  <c r="W201" i="35572"/>
  <c r="W135" i="35572"/>
  <c r="W114" i="35572"/>
  <c r="W146" i="35572"/>
  <c r="W182" i="35572"/>
  <c r="W222" i="35572"/>
  <c r="W141" i="35572"/>
  <c r="W260" i="35572"/>
  <c r="W324" i="35572"/>
  <c r="W234" i="35572"/>
  <c r="W239" i="35572"/>
  <c r="W314" i="35572"/>
  <c r="W378" i="35572"/>
  <c r="W355" i="35572"/>
  <c r="W323" i="35572"/>
  <c r="W291" i="35572"/>
  <c r="W259" i="35572"/>
  <c r="W187" i="35572"/>
  <c r="W115" i="35572"/>
  <c r="W128" i="35572"/>
  <c r="W160" i="35572"/>
  <c r="W193" i="35572"/>
  <c r="W233" i="35572"/>
  <c r="W248" i="35572"/>
  <c r="W376" i="35572"/>
  <c r="W286" i="35572"/>
  <c r="W373" i="35572"/>
  <c r="W309" i="35572"/>
  <c r="W245" i="35572"/>
  <c r="W111" i="35572"/>
  <c r="W158" i="35572"/>
  <c r="W236" i="35572"/>
  <c r="W284" i="35572"/>
  <c r="W137" i="35572"/>
  <c r="W338" i="35572"/>
  <c r="W343" i="35572"/>
  <c r="W279" i="35572"/>
  <c r="W155" i="35572"/>
  <c r="W140" i="35572"/>
  <c r="W212" i="35572"/>
  <c r="W94" i="35572"/>
  <c r="W86" i="35572"/>
  <c r="W78" i="35572"/>
  <c r="W72" i="35572"/>
  <c r="W65" i="35572"/>
  <c r="W58" i="35572"/>
  <c r="W53" i="35572"/>
  <c r="W41" i="35572"/>
  <c r="W33" i="35572"/>
  <c r="W25" i="35572"/>
  <c r="W163" i="35572"/>
  <c r="W217" i="35572"/>
  <c r="W360" i="35572"/>
  <c r="W270" i="35572"/>
  <c r="W381" i="35572"/>
  <c r="W317" i="35572"/>
  <c r="W253" i="35572"/>
  <c r="W127" i="35572"/>
  <c r="W150" i="35572"/>
  <c r="W227" i="35572"/>
  <c r="W268" i="35572"/>
  <c r="W105" i="35572"/>
  <c r="W322" i="35572"/>
  <c r="W351" i="35572"/>
  <c r="W287" i="35572"/>
  <c r="W179" i="35572"/>
  <c r="W132" i="35572"/>
  <c r="W202" i="35572"/>
  <c r="W96" i="35572"/>
  <c r="W88" i="35572"/>
  <c r="W80" i="35572"/>
  <c r="W71" i="35572"/>
  <c r="W63" i="35572"/>
  <c r="W51" i="35572"/>
  <c r="W44" i="35572"/>
  <c r="W36" i="35572"/>
  <c r="W28" i="35572"/>
  <c r="W22" i="35572"/>
  <c r="W266" i="35572"/>
  <c r="W190" i="35572"/>
  <c r="J29" i="35574"/>
  <c r="F31" i="35574"/>
  <c r="K28" i="35574" l="1"/>
  <c r="K29" i="35574"/>
  <c r="G30" i="35574"/>
  <c r="Y13" i="35572"/>
  <c r="J41" i="35572" s="1"/>
  <c r="AA13" i="35601"/>
  <c r="J41" i="35601" s="1"/>
  <c r="W15" i="35601"/>
  <c r="U15" i="35601" s="1"/>
  <c r="Y221" i="35601" s="1"/>
  <c r="F63" i="35600"/>
  <c r="G64" i="35600"/>
  <c r="J64" i="35600" s="1"/>
  <c r="M64" i="35600"/>
  <c r="L64" i="35600" s="1"/>
  <c r="K64" i="35600"/>
  <c r="K415" i="35600"/>
  <c r="G415" i="35600"/>
  <c r="J415" i="35600" s="1"/>
  <c r="M415" i="35600"/>
  <c r="L415" i="35600" s="1"/>
  <c r="G416" i="35600"/>
  <c r="J416" i="35600" s="1"/>
  <c r="K416" i="35600"/>
  <c r="M416" i="35600"/>
  <c r="L416" i="35600" s="1"/>
  <c r="G417" i="35600"/>
  <c r="J417" i="35600" s="1"/>
  <c r="M417" i="35600"/>
  <c r="L417" i="35600" s="1"/>
  <c r="K417" i="35600"/>
  <c r="M418" i="35600"/>
  <c r="L418" i="35600" s="1"/>
  <c r="G418" i="35600"/>
  <c r="J418" i="35600" s="1"/>
  <c r="K418" i="35600"/>
  <c r="G410" i="35600"/>
  <c r="J410" i="35600" s="1"/>
  <c r="M410" i="35600"/>
  <c r="L410" i="35600" s="1"/>
  <c r="K410" i="35600"/>
  <c r="G419" i="35600"/>
  <c r="J419" i="35600" s="1"/>
  <c r="M419" i="35600"/>
  <c r="L419" i="35600" s="1"/>
  <c r="K419" i="35600"/>
  <c r="M411" i="35600"/>
  <c r="L411" i="35600" s="1"/>
  <c r="K411" i="35600"/>
  <c r="G411" i="35600"/>
  <c r="J411" i="35600" s="1"/>
  <c r="M412" i="35600"/>
  <c r="L412" i="35600" s="1"/>
  <c r="G412" i="35600"/>
  <c r="J412" i="35600" s="1"/>
  <c r="K412" i="35600"/>
  <c r="M413" i="35600"/>
  <c r="L413" i="35600" s="1"/>
  <c r="G413" i="35600"/>
  <c r="J413" i="35600" s="1"/>
  <c r="K413" i="35600"/>
  <c r="M414" i="35600"/>
  <c r="L414" i="35600" s="1"/>
  <c r="K414" i="35600"/>
  <c r="G414" i="35600"/>
  <c r="J414" i="35600" s="1"/>
  <c r="X84" i="35572"/>
  <c r="N34" i="35572"/>
  <c r="H16" i="35581" s="1"/>
  <c r="M16" i="35581" s="1"/>
  <c r="X320" i="35572"/>
  <c r="X255" i="35572"/>
  <c r="X210" i="35572"/>
  <c r="X144" i="35572"/>
  <c r="X99" i="35572"/>
  <c r="X34" i="35572"/>
  <c r="X355" i="35572"/>
  <c r="X310" i="35572"/>
  <c r="X285" i="35572"/>
  <c r="X280" i="35572"/>
  <c r="X215" i="35572"/>
  <c r="X170" i="35572"/>
  <c r="X104" i="35572"/>
  <c r="X59" i="35572"/>
  <c r="X380" i="35572"/>
  <c r="X315" i="35572"/>
  <c r="X270" i="35572"/>
  <c r="X325" i="35572"/>
  <c r="X240" i="35572"/>
  <c r="X175" i="35572"/>
  <c r="X129" i="35572"/>
  <c r="X64" i="35572"/>
  <c r="X24" i="35572"/>
  <c r="X340" i="35572"/>
  <c r="X275" i="35572"/>
  <c r="X230" i="35572"/>
  <c r="X205" i="35572"/>
  <c r="X200" i="35572"/>
  <c r="X295" i="35572"/>
  <c r="X250" i="35572"/>
  <c r="X139" i="35572"/>
  <c r="X29" i="35572"/>
  <c r="X360" i="35572"/>
  <c r="X345" i="35572"/>
  <c r="X235" i="35572"/>
  <c r="X245" i="35572"/>
  <c r="X159" i="35572"/>
  <c r="X94" i="35572"/>
  <c r="X49" i="35572"/>
  <c r="X370" i="35572"/>
  <c r="X305" i="35572"/>
  <c r="X260" i="35572"/>
  <c r="X195" i="35572"/>
  <c r="X149" i="35572"/>
  <c r="X124" i="35572"/>
  <c r="X119" i="35572"/>
  <c r="X54" i="35572"/>
  <c r="X375" i="35572"/>
  <c r="X330" i="35572"/>
  <c r="X265" i="35572"/>
  <c r="X220" i="35572"/>
  <c r="X154" i="35572"/>
  <c r="X109" i="35572"/>
  <c r="X164" i="35572"/>
  <c r="X79" i="35572"/>
  <c r="X39" i="35572"/>
  <c r="X335" i="35572"/>
  <c r="X290" i="35572"/>
  <c r="X225" i="35572"/>
  <c r="X180" i="35572"/>
  <c r="X114" i="35572"/>
  <c r="X69" i="35572"/>
  <c r="X44" i="35572"/>
  <c r="X365" i="35572"/>
  <c r="X134" i="35572"/>
  <c r="X89" i="35572"/>
  <c r="X185" i="35572"/>
  <c r="X74" i="35572"/>
  <c r="X350" i="35572"/>
  <c r="X19" i="35572"/>
  <c r="X300" i="35572"/>
  <c r="X190" i="35572"/>
  <c r="J30" i="35574"/>
  <c r="K30" i="35574" s="1"/>
  <c r="F32" i="35574"/>
  <c r="G31" i="35574" l="1"/>
  <c r="Y40" i="35601"/>
  <c r="Y23" i="35601"/>
  <c r="Y68" i="35601"/>
  <c r="Y57" i="35601"/>
  <c r="Y86" i="35601"/>
  <c r="Y48" i="35601"/>
  <c r="Y27" i="35601"/>
  <c r="Y26" i="35601"/>
  <c r="Y21" i="35601"/>
  <c r="Y20" i="35601"/>
  <c r="Y125" i="35601"/>
  <c r="Y140" i="35601"/>
  <c r="Y34" i="35601"/>
  <c r="Y25" i="35601"/>
  <c r="Y19" i="35601"/>
  <c r="Y52" i="35601"/>
  <c r="Y18" i="35601"/>
  <c r="Y58" i="35601"/>
  <c r="Y61" i="35601"/>
  <c r="Y35" i="35601"/>
  <c r="Y81" i="35601"/>
  <c r="Y36" i="35601"/>
  <c r="Y91" i="35601"/>
  <c r="Y39" i="35601"/>
  <c r="Y84" i="35601"/>
  <c r="Y22" i="35601"/>
  <c r="Y37" i="35601"/>
  <c r="Y77" i="35601"/>
  <c r="Y300" i="35601"/>
  <c r="Y24" i="35601"/>
  <c r="Y99" i="35601"/>
  <c r="Y43" i="35601"/>
  <c r="Y92" i="35601"/>
  <c r="Y28" i="35601"/>
  <c r="Y126" i="35601"/>
  <c r="Y80" i="35601"/>
  <c r="Y33" i="35601"/>
  <c r="Y32" i="35601"/>
  <c r="Y107" i="35601"/>
  <c r="Y120" i="35601"/>
  <c r="Y168" i="35601"/>
  <c r="Y38" i="35601"/>
  <c r="Y130" i="35601"/>
  <c r="Y53" i="35601"/>
  <c r="Y31" i="35601"/>
  <c r="Y72" i="35601"/>
  <c r="Y55" i="35601"/>
  <c r="Y29" i="35601"/>
  <c r="Y30" i="35601"/>
  <c r="Y42" i="35601"/>
  <c r="Y105" i="35601"/>
  <c r="Y87" i="35601"/>
  <c r="Y49" i="35601"/>
  <c r="Y78" i="35601"/>
  <c r="Y59" i="35601"/>
  <c r="Y106" i="35601"/>
  <c r="Y67" i="35601"/>
  <c r="Y60" i="35601"/>
  <c r="Y96" i="35601"/>
  <c r="Y65" i="35601"/>
  <c r="Y50" i="35601"/>
  <c r="Y259" i="35601"/>
  <c r="Y83" i="35601"/>
  <c r="Y64" i="35601"/>
  <c r="Y104" i="35601"/>
  <c r="Y73" i="35601"/>
  <c r="Y44" i="35601"/>
  <c r="Y54" i="35601"/>
  <c r="Y89" i="35601"/>
  <c r="Y63" i="35601"/>
  <c r="Y41" i="35601"/>
  <c r="Y70" i="35601"/>
  <c r="Y46" i="35601"/>
  <c r="Y47" i="35601"/>
  <c r="Y76" i="35601"/>
  <c r="Y97" i="35601"/>
  <c r="Y71" i="35601"/>
  <c r="Y45" i="35601"/>
  <c r="Y74" i="35601"/>
  <c r="Y51" i="35601"/>
  <c r="Y62" i="35601"/>
  <c r="Y114" i="35601"/>
  <c r="Y85" i="35601"/>
  <c r="Y225" i="35601"/>
  <c r="Y75" i="35601"/>
  <c r="Y56" i="35601"/>
  <c r="Y88" i="35601"/>
  <c r="Y79" i="35601"/>
  <c r="Y66" i="35601"/>
  <c r="Y121" i="35601"/>
  <c r="Y82" i="35601"/>
  <c r="Y110" i="35601"/>
  <c r="Y69" i="35601"/>
  <c r="Y95" i="35601"/>
  <c r="Y98" i="35601"/>
  <c r="Y101" i="35601"/>
  <c r="Y342" i="35601"/>
  <c r="Y136" i="35601"/>
  <c r="Y108" i="35601"/>
  <c r="Y103" i="35601"/>
  <c r="Y102" i="35601"/>
  <c r="Y147" i="35601"/>
  <c r="Y109" i="35601"/>
  <c r="Y90" i="35601"/>
  <c r="Y236" i="35601"/>
  <c r="Y164" i="35601"/>
  <c r="Y100" i="35601"/>
  <c r="Y94" i="35601"/>
  <c r="Y93" i="35601"/>
  <c r="Y129" i="35601"/>
  <c r="Y118" i="35601"/>
  <c r="Y117" i="35601"/>
  <c r="Y141" i="35601"/>
  <c r="Y144" i="35601"/>
  <c r="Y153" i="35601"/>
  <c r="Y111" i="35601"/>
  <c r="Y174" i="35601"/>
  <c r="Y242" i="35601"/>
  <c r="Y265" i="35601"/>
  <c r="Y149" i="35601"/>
  <c r="Y148" i="35601"/>
  <c r="Y112" i="35601"/>
  <c r="Y135" i="35601"/>
  <c r="Y113" i="35601"/>
  <c r="Y119" i="35601"/>
  <c r="Y127" i="35601"/>
  <c r="Y380" i="35601"/>
  <c r="Y219" i="35601"/>
  <c r="Y115" i="35601"/>
  <c r="Y116" i="35601"/>
  <c r="Y122" i="35601"/>
  <c r="Y357" i="35601"/>
  <c r="Y124" i="35601"/>
  <c r="Y134" i="35601"/>
  <c r="Y123" i="35601"/>
  <c r="Y128" i="35601"/>
  <c r="Y172" i="35601"/>
  <c r="Y151" i="35601"/>
  <c r="Y137" i="35601"/>
  <c r="Y138" i="35601"/>
  <c r="Y267" i="35601"/>
  <c r="Y133" i="35601"/>
  <c r="Y132" i="35601"/>
  <c r="Y163" i="35601"/>
  <c r="Y158" i="35601"/>
  <c r="Y145" i="35601"/>
  <c r="Y142" i="35601"/>
  <c r="Y146" i="35601"/>
  <c r="Y166" i="35601"/>
  <c r="Y150" i="35601"/>
  <c r="Y131" i="35601"/>
  <c r="Y176" i="35601"/>
  <c r="Y143" i="35601"/>
  <c r="Y170" i="35601"/>
  <c r="Y139" i="35601"/>
  <c r="Y260" i="35601"/>
  <c r="Y238" i="35601"/>
  <c r="Y152" i="35601"/>
  <c r="Y169" i="35601"/>
  <c r="Y162" i="35601"/>
  <c r="Y157" i="35601"/>
  <c r="Y270" i="35601"/>
  <c r="Y171" i="35601"/>
  <c r="Y155" i="35601"/>
  <c r="Y154" i="35601"/>
  <c r="Y161" i="35601"/>
  <c r="Y175" i="35601"/>
  <c r="Y294" i="35601"/>
  <c r="Y296" i="35601"/>
  <c r="Y322" i="35601"/>
  <c r="Y156" i="35601"/>
  <c r="Y159" i="35601"/>
  <c r="Y160" i="35601"/>
  <c r="Y165" i="35601"/>
  <c r="Y309" i="35601"/>
  <c r="Y299" i="35601"/>
  <c r="Y173" i="35601"/>
  <c r="Y167" i="35601"/>
  <c r="Y272" i="35601"/>
  <c r="Y336" i="35601"/>
  <c r="Y255" i="35601"/>
  <c r="Y326" i="35601"/>
  <c r="Y303" i="35601"/>
  <c r="Y196" i="35601"/>
  <c r="Y191" i="35601"/>
  <c r="Y229" i="35601"/>
  <c r="Y227" i="35601"/>
  <c r="Y237" i="35601"/>
  <c r="Y327" i="35601"/>
  <c r="Y295" i="35601"/>
  <c r="Y379" i="35601"/>
  <c r="Y347" i="35601"/>
  <c r="Y246" i="35601"/>
  <c r="Y318" i="35601"/>
  <c r="Y286" i="35601"/>
  <c r="Y370" i="35601"/>
  <c r="Y338" i="35601"/>
  <c r="Y263" i="35601"/>
  <c r="Y301" i="35601"/>
  <c r="Y269" i="35601"/>
  <c r="Y353" i="35601"/>
  <c r="Y240" i="35601"/>
  <c r="Y324" i="35601"/>
  <c r="Y292" i="35601"/>
  <c r="Y376" i="35601"/>
  <c r="Y344" i="35601"/>
  <c r="Y231" i="35601"/>
  <c r="Y241" i="35601"/>
  <c r="Y323" i="35601"/>
  <c r="Y291" i="35601"/>
  <c r="Y375" i="35601"/>
  <c r="Y343" i="35601"/>
  <c r="Y250" i="35601"/>
  <c r="Y314" i="35601"/>
  <c r="Y282" i="35601"/>
  <c r="Y366" i="35601"/>
  <c r="Y332" i="35601"/>
  <c r="Y329" i="35601"/>
  <c r="Y297" i="35601"/>
  <c r="Y381" i="35601"/>
  <c r="Y349" i="35601"/>
  <c r="Y244" i="35601"/>
  <c r="Y320" i="35601"/>
  <c r="Y288" i="35601"/>
  <c r="Y372" i="35601"/>
  <c r="Y340" i="35601"/>
  <c r="Y211" i="35601"/>
  <c r="Y198" i="35601"/>
  <c r="Y220" i="35601"/>
  <c r="Y235" i="35601"/>
  <c r="Y245" i="35601"/>
  <c r="Y319" i="35601"/>
  <c r="Y287" i="35601"/>
  <c r="Y371" i="35601"/>
  <c r="Y339" i="35601"/>
  <c r="Y254" i="35601"/>
  <c r="Y310" i="35601"/>
  <c r="Y278" i="35601"/>
  <c r="Y362" i="35601"/>
  <c r="Y239" i="35601"/>
  <c r="Y325" i="35601"/>
  <c r="Y293" i="35601"/>
  <c r="Y377" i="35601"/>
  <c r="Y345" i="35601"/>
  <c r="Y248" i="35601"/>
  <c r="Y316" i="35601"/>
  <c r="Y284" i="35601"/>
  <c r="Y368" i="35601"/>
  <c r="Y334" i="35601"/>
  <c r="Y358" i="35601"/>
  <c r="Y243" i="35601"/>
  <c r="Y321" i="35601"/>
  <c r="Y289" i="35601"/>
  <c r="Y373" i="35601"/>
  <c r="Y341" i="35601"/>
  <c r="Y252" i="35601"/>
  <c r="Y312" i="35601"/>
  <c r="Y280" i="35601"/>
  <c r="Y364" i="35601"/>
  <c r="Y222" i="35601"/>
  <c r="Y279" i="35601"/>
  <c r="Y262" i="35601"/>
  <c r="Y268" i="35601"/>
  <c r="Y317" i="35601"/>
  <c r="Y369" i="35601"/>
  <c r="Y308" i="35601"/>
  <c r="Y360" i="35601"/>
  <c r="Y359" i="35601"/>
  <c r="Y281" i="35601"/>
  <c r="Y209" i="35601"/>
  <c r="Y233" i="35601"/>
  <c r="Y189" i="35601"/>
  <c r="Y232" i="35601"/>
  <c r="Y257" i="35601"/>
  <c r="Y307" i="35601"/>
  <c r="Y330" i="35601"/>
  <c r="Y298" i="35601"/>
  <c r="Y350" i="35601"/>
  <c r="Y204" i="35601"/>
  <c r="Y182" i="35601"/>
  <c r="Y206" i="35601"/>
  <c r="Y224" i="35601"/>
  <c r="Y218" i="35601"/>
  <c r="Y249" i="35601"/>
  <c r="Y315" i="35601"/>
  <c r="Y283" i="35601"/>
  <c r="Y367" i="35601"/>
  <c r="Y335" i="35601"/>
  <c r="Y258" i="35601"/>
  <c r="Y306" i="35601"/>
  <c r="Y274" i="35601"/>
  <c r="Y178" i="35601"/>
  <c r="Y214" i="35601"/>
  <c r="Y180" i="35601"/>
  <c r="Y179" i="35601"/>
  <c r="Y228" i="35601"/>
  <c r="Y253" i="35601"/>
  <c r="Y311" i="35601"/>
  <c r="Y363" i="35601"/>
  <c r="Y331" i="35601"/>
  <c r="Y302" i="35601"/>
  <c r="Y354" i="35601"/>
  <c r="Y247" i="35601"/>
  <c r="Y285" i="35601"/>
  <c r="Y337" i="35601"/>
  <c r="Y256" i="35601"/>
  <c r="Y276" i="35601"/>
  <c r="Y183" i="35601"/>
  <c r="Y226" i="35601"/>
  <c r="Y275" i="35601"/>
  <c r="Y266" i="35601"/>
  <c r="Y382" i="35601"/>
  <c r="Y251" i="35601"/>
  <c r="Y313" i="35601"/>
  <c r="Y365" i="35601"/>
  <c r="Y333" i="35601"/>
  <c r="Y304" i="35601"/>
  <c r="Y230" i="35601"/>
  <c r="Y361" i="35601"/>
  <c r="Y346" i="35601"/>
  <c r="Y261" i="35601"/>
  <c r="Y348" i="35601"/>
  <c r="Y273" i="35601"/>
  <c r="Y374" i="35601"/>
  <c r="Y351" i="35601"/>
  <c r="Y234" i="35601"/>
  <c r="Y352" i="35601"/>
  <c r="Y328" i="35601"/>
  <c r="Y277" i="35601"/>
  <c r="Y378" i="35601"/>
  <c r="Y355" i="35601"/>
  <c r="Y356" i="35601"/>
  <c r="Y264" i="35601"/>
  <c r="Y305" i="35601"/>
  <c r="Y290" i="35601"/>
  <c r="Y271" i="35601"/>
  <c r="Y223" i="35601"/>
  <c r="Y177" i="35601"/>
  <c r="Y185" i="35601"/>
  <c r="Y213" i="35601"/>
  <c r="Y199" i="35601"/>
  <c r="Y184" i="35601"/>
  <c r="Y205" i="35601"/>
  <c r="Y190" i="35601"/>
  <c r="Y194" i="35601"/>
  <c r="Y188" i="35601"/>
  <c r="Y192" i="35601"/>
  <c r="Y197" i="35601"/>
  <c r="Y208" i="35601"/>
  <c r="Y200" i="35601"/>
  <c r="Y202" i="35601"/>
  <c r="Y193" i="35601"/>
  <c r="Y215" i="35601"/>
  <c r="Y216" i="35601"/>
  <c r="Y207" i="35601"/>
  <c r="Y187" i="35601"/>
  <c r="Y217" i="35601"/>
  <c r="Y212" i="35601"/>
  <c r="Y203" i="35601"/>
  <c r="Y195" i="35601"/>
  <c r="Y210" i="35601"/>
  <c r="Y201" i="35601"/>
  <c r="Y186" i="35601"/>
  <c r="Y181" i="35601"/>
  <c r="F62" i="35600"/>
  <c r="G63" i="35600"/>
  <c r="J63" i="35600" s="1"/>
  <c r="M63" i="35600"/>
  <c r="L63" i="35600" s="1"/>
  <c r="K63" i="35600"/>
  <c r="I16" i="35581"/>
  <c r="L16" i="35581" s="1"/>
  <c r="J31" i="35574"/>
  <c r="K31" i="35574" s="1"/>
  <c r="F33" i="35574"/>
  <c r="G32" i="35574" l="1"/>
  <c r="Y15" i="35601"/>
  <c r="P35" i="35601" s="1"/>
  <c r="K62" i="35600"/>
  <c r="M62" i="35600"/>
  <c r="L62" i="35600" s="1"/>
  <c r="G62" i="35600"/>
  <c r="J62" i="35600" s="1"/>
  <c r="F61" i="35600"/>
  <c r="J32" i="35574"/>
  <c r="K32" i="35574" s="1"/>
  <c r="F34" i="35574"/>
  <c r="G33" i="35574" l="1"/>
  <c r="N35" i="35601"/>
  <c r="I17" i="35581" s="1"/>
  <c r="M61" i="35600"/>
  <c r="L61" i="35600" s="1"/>
  <c r="G61" i="35600"/>
  <c r="J61" i="35600" s="1"/>
  <c r="K61" i="35600"/>
  <c r="F60" i="35600"/>
  <c r="X36" i="35601"/>
  <c r="X40" i="35601"/>
  <c r="X44" i="35601"/>
  <c r="X48" i="35601"/>
  <c r="X52" i="35601"/>
  <c r="X56" i="35601"/>
  <c r="X60" i="35601"/>
  <c r="X64" i="35601"/>
  <c r="X68" i="35601"/>
  <c r="X72" i="35601"/>
  <c r="X76" i="35601"/>
  <c r="X80" i="35601"/>
  <c r="X84" i="35601"/>
  <c r="X88" i="35601"/>
  <c r="X92" i="35601"/>
  <c r="X96" i="35601"/>
  <c r="X100" i="35601"/>
  <c r="X104" i="35601"/>
  <c r="X108" i="35601"/>
  <c r="X112" i="35601"/>
  <c r="X116" i="35601"/>
  <c r="X120" i="35601"/>
  <c r="X124" i="35601"/>
  <c r="X128" i="35601"/>
  <c r="X132" i="35601"/>
  <c r="X136" i="35601"/>
  <c r="X140" i="35601"/>
  <c r="X144" i="35601"/>
  <c r="X148" i="35601"/>
  <c r="X152" i="35601"/>
  <c r="X156" i="35601"/>
  <c r="X160" i="35601"/>
  <c r="X164" i="35601"/>
  <c r="X168" i="35601"/>
  <c r="X172" i="35601"/>
  <c r="X176" i="35601"/>
  <c r="X180" i="35601"/>
  <c r="X184" i="35601"/>
  <c r="X188" i="35601"/>
  <c r="X192" i="35601"/>
  <c r="X196" i="35601"/>
  <c r="X200" i="35601"/>
  <c r="X204" i="35601"/>
  <c r="X208" i="35601"/>
  <c r="X212" i="35601"/>
  <c r="X216" i="35601"/>
  <c r="X220" i="35601"/>
  <c r="X224" i="35601"/>
  <c r="X228" i="35601"/>
  <c r="X232" i="35601"/>
  <c r="X236" i="35601"/>
  <c r="X240" i="35601"/>
  <c r="X244" i="35601"/>
  <c r="X248" i="35601"/>
  <c r="X252" i="35601"/>
  <c r="X256" i="35601"/>
  <c r="X260" i="35601"/>
  <c r="X264" i="35601"/>
  <c r="X268" i="35601"/>
  <c r="X272" i="35601"/>
  <c r="X276" i="35601"/>
  <c r="X280" i="35601"/>
  <c r="X284" i="35601"/>
  <c r="X288" i="35601"/>
  <c r="X32" i="35601"/>
  <c r="X28" i="35601"/>
  <c r="X24" i="35601"/>
  <c r="X20" i="35601"/>
  <c r="X380" i="35601"/>
  <c r="X376" i="35601"/>
  <c r="X372" i="35601"/>
  <c r="X368" i="35601"/>
  <c r="X364" i="35601"/>
  <c r="X360" i="35601"/>
  <c r="X356" i="35601"/>
  <c r="X352" i="35601"/>
  <c r="X348" i="35601"/>
  <c r="X344" i="35601"/>
  <c r="X340" i="35601"/>
  <c r="X336" i="35601"/>
  <c r="X332" i="35601"/>
  <c r="X328" i="35601"/>
  <c r="X324" i="35601"/>
  <c r="X320" i="35601"/>
  <c r="X316" i="35601"/>
  <c r="X312" i="35601"/>
  <c r="X308" i="35601"/>
  <c r="X304" i="35601"/>
  <c r="X300" i="35601"/>
  <c r="X296" i="35601"/>
  <c r="X292" i="35601"/>
  <c r="X275" i="35601"/>
  <c r="X365" i="35601"/>
  <c r="X355" i="35601"/>
  <c r="X345" i="35601"/>
  <c r="X335" i="35601"/>
  <c r="X327" i="35601"/>
  <c r="X321" i="35601"/>
  <c r="X313" i="35601"/>
  <c r="X305" i="35601"/>
  <c r="X297" i="35601"/>
  <c r="X289" i="35601"/>
  <c r="X37" i="35601"/>
  <c r="X41" i="35601"/>
  <c r="X45" i="35601"/>
  <c r="X49" i="35601"/>
  <c r="X53" i="35601"/>
  <c r="X57" i="35601"/>
  <c r="X61" i="35601"/>
  <c r="X65" i="35601"/>
  <c r="X69" i="35601"/>
  <c r="X73" i="35601"/>
  <c r="X77" i="35601"/>
  <c r="X81" i="35601"/>
  <c r="X85" i="35601"/>
  <c r="X89" i="35601"/>
  <c r="X93" i="35601"/>
  <c r="X97" i="35601"/>
  <c r="X101" i="35601"/>
  <c r="X105" i="35601"/>
  <c r="X109" i="35601"/>
  <c r="X113" i="35601"/>
  <c r="X117" i="35601"/>
  <c r="X121" i="35601"/>
  <c r="X125" i="35601"/>
  <c r="X129" i="35601"/>
  <c r="X133" i="35601"/>
  <c r="X137" i="35601"/>
  <c r="X141" i="35601"/>
  <c r="X145" i="35601"/>
  <c r="X149" i="35601"/>
  <c r="X153" i="35601"/>
  <c r="X157" i="35601"/>
  <c r="X161" i="35601"/>
  <c r="X165" i="35601"/>
  <c r="X169" i="35601"/>
  <c r="X173" i="35601"/>
  <c r="X177" i="35601"/>
  <c r="X181" i="35601"/>
  <c r="X185" i="35601"/>
  <c r="X189" i="35601"/>
  <c r="X193" i="35601"/>
  <c r="X197" i="35601"/>
  <c r="X201" i="35601"/>
  <c r="X205" i="35601"/>
  <c r="X209" i="35601"/>
  <c r="X213" i="35601"/>
  <c r="X217" i="35601"/>
  <c r="X221" i="35601"/>
  <c r="X225" i="35601"/>
  <c r="X229" i="35601"/>
  <c r="X233" i="35601"/>
  <c r="X237" i="35601"/>
  <c r="X241" i="35601"/>
  <c r="X245" i="35601"/>
  <c r="X249" i="35601"/>
  <c r="X253" i="35601"/>
  <c r="X257" i="35601"/>
  <c r="X261" i="35601"/>
  <c r="X265" i="35601"/>
  <c r="X269" i="35601"/>
  <c r="X273" i="35601"/>
  <c r="X279" i="35601"/>
  <c r="X283" i="35601"/>
  <c r="X287" i="35601"/>
  <c r="X33" i="35601"/>
  <c r="X29" i="35601"/>
  <c r="X25" i="35601"/>
  <c r="X21" i="35601"/>
  <c r="X381" i="35601"/>
  <c r="X377" i="35601"/>
  <c r="X371" i="35601"/>
  <c r="X367" i="35601"/>
  <c r="X361" i="35601"/>
  <c r="X353" i="35601"/>
  <c r="X347" i="35601"/>
  <c r="X341" i="35601"/>
  <c r="X333" i="35601"/>
  <c r="X325" i="35601"/>
  <c r="X315" i="35601"/>
  <c r="X307" i="35601"/>
  <c r="X301" i="35601"/>
  <c r="X291" i="35601"/>
  <c r="X38" i="35601"/>
  <c r="X42" i="35601"/>
  <c r="X46" i="35601"/>
  <c r="X50" i="35601"/>
  <c r="X54" i="35601"/>
  <c r="X58" i="35601"/>
  <c r="X62" i="35601"/>
  <c r="X66" i="35601"/>
  <c r="X70" i="35601"/>
  <c r="X74" i="35601"/>
  <c r="X78" i="35601"/>
  <c r="X82" i="35601"/>
  <c r="X86" i="35601"/>
  <c r="X90" i="35601"/>
  <c r="X94" i="35601"/>
  <c r="X98" i="35601"/>
  <c r="X102" i="35601"/>
  <c r="X106" i="35601"/>
  <c r="X110" i="35601"/>
  <c r="X114" i="35601"/>
  <c r="X118" i="35601"/>
  <c r="X122" i="35601"/>
  <c r="X126" i="35601"/>
  <c r="X130" i="35601"/>
  <c r="X134" i="35601"/>
  <c r="X138" i="35601"/>
  <c r="X142" i="35601"/>
  <c r="X146" i="35601"/>
  <c r="X150" i="35601"/>
  <c r="X154" i="35601"/>
  <c r="X158" i="35601"/>
  <c r="X162" i="35601"/>
  <c r="X166" i="35601"/>
  <c r="X170" i="35601"/>
  <c r="X174" i="35601"/>
  <c r="X178" i="35601"/>
  <c r="X182" i="35601"/>
  <c r="X186" i="35601"/>
  <c r="X190" i="35601"/>
  <c r="X194" i="35601"/>
  <c r="X198" i="35601"/>
  <c r="X202" i="35601"/>
  <c r="X206" i="35601"/>
  <c r="X210" i="35601"/>
  <c r="X214" i="35601"/>
  <c r="X218" i="35601"/>
  <c r="X222" i="35601"/>
  <c r="X226" i="35601"/>
  <c r="X230" i="35601"/>
  <c r="X234" i="35601"/>
  <c r="X238" i="35601"/>
  <c r="X242" i="35601"/>
  <c r="X246" i="35601"/>
  <c r="X250" i="35601"/>
  <c r="X254" i="35601"/>
  <c r="X258" i="35601"/>
  <c r="X262" i="35601"/>
  <c r="X266" i="35601"/>
  <c r="X270" i="35601"/>
  <c r="X274" i="35601"/>
  <c r="X278" i="35601"/>
  <c r="X282" i="35601"/>
  <c r="X286" i="35601"/>
  <c r="X34" i="35601"/>
  <c r="X30" i="35601"/>
  <c r="X26" i="35601"/>
  <c r="X22" i="35601"/>
  <c r="X382" i="35601"/>
  <c r="X378" i="35601"/>
  <c r="X374" i="35601"/>
  <c r="X370" i="35601"/>
  <c r="X366" i="35601"/>
  <c r="X362" i="35601"/>
  <c r="X358" i="35601"/>
  <c r="X354" i="35601"/>
  <c r="X350" i="35601"/>
  <c r="X346" i="35601"/>
  <c r="X342" i="35601"/>
  <c r="X338" i="35601"/>
  <c r="X334" i="35601"/>
  <c r="X330" i="35601"/>
  <c r="X326" i="35601"/>
  <c r="X322" i="35601"/>
  <c r="X318" i="35601"/>
  <c r="X314" i="35601"/>
  <c r="X310" i="35601"/>
  <c r="X306" i="35601"/>
  <c r="X302" i="35601"/>
  <c r="X298" i="35601"/>
  <c r="X294" i="35601"/>
  <c r="X290" i="35601"/>
  <c r="X375" i="35601"/>
  <c r="X359" i="35601"/>
  <c r="X351" i="35601"/>
  <c r="X339" i="35601"/>
  <c r="X331" i="35601"/>
  <c r="X323" i="35601"/>
  <c r="X317" i="35601"/>
  <c r="X309" i="35601"/>
  <c r="X299" i="35601"/>
  <c r="X293" i="35601"/>
  <c r="X35" i="35601"/>
  <c r="X39" i="35601"/>
  <c r="X43" i="35601"/>
  <c r="X47" i="35601"/>
  <c r="X51" i="35601"/>
  <c r="X55" i="35601"/>
  <c r="X59" i="35601"/>
  <c r="X63" i="35601"/>
  <c r="X67" i="35601"/>
  <c r="X71" i="35601"/>
  <c r="X75" i="35601"/>
  <c r="X79" i="35601"/>
  <c r="X83" i="35601"/>
  <c r="X87" i="35601"/>
  <c r="X91" i="35601"/>
  <c r="X95" i="35601"/>
  <c r="X99" i="35601"/>
  <c r="X103" i="35601"/>
  <c r="X107" i="35601"/>
  <c r="X111" i="35601"/>
  <c r="X115" i="35601"/>
  <c r="X119" i="35601"/>
  <c r="X123" i="35601"/>
  <c r="X127" i="35601"/>
  <c r="X131" i="35601"/>
  <c r="X135" i="35601"/>
  <c r="X139" i="35601"/>
  <c r="X143" i="35601"/>
  <c r="X147" i="35601"/>
  <c r="X151" i="35601"/>
  <c r="X155" i="35601"/>
  <c r="X159" i="35601"/>
  <c r="X163" i="35601"/>
  <c r="X167" i="35601"/>
  <c r="X171" i="35601"/>
  <c r="X175" i="35601"/>
  <c r="X179" i="35601"/>
  <c r="X183" i="35601"/>
  <c r="X187" i="35601"/>
  <c r="X191" i="35601"/>
  <c r="X195" i="35601"/>
  <c r="X199" i="35601"/>
  <c r="X203" i="35601"/>
  <c r="X207" i="35601"/>
  <c r="X211" i="35601"/>
  <c r="X215" i="35601"/>
  <c r="X219" i="35601"/>
  <c r="X223" i="35601"/>
  <c r="X227" i="35601"/>
  <c r="X231" i="35601"/>
  <c r="X235" i="35601"/>
  <c r="X239" i="35601"/>
  <c r="X243" i="35601"/>
  <c r="X247" i="35601"/>
  <c r="X251" i="35601"/>
  <c r="X255" i="35601"/>
  <c r="X259" i="35601"/>
  <c r="X263" i="35601"/>
  <c r="X267" i="35601"/>
  <c r="X271" i="35601"/>
  <c r="X277" i="35601"/>
  <c r="X281" i="35601"/>
  <c r="X285" i="35601"/>
  <c r="X18" i="35601"/>
  <c r="X31" i="35601"/>
  <c r="X27" i="35601"/>
  <c r="X23" i="35601"/>
  <c r="X19" i="35601"/>
  <c r="X379" i="35601"/>
  <c r="X373" i="35601"/>
  <c r="X369" i="35601"/>
  <c r="X363" i="35601"/>
  <c r="X357" i="35601"/>
  <c r="X349" i="35601"/>
  <c r="X343" i="35601"/>
  <c r="X337" i="35601"/>
  <c r="X329" i="35601"/>
  <c r="X319" i="35601"/>
  <c r="X311" i="35601"/>
  <c r="X303" i="35601"/>
  <c r="X295" i="35601"/>
  <c r="J33" i="35574"/>
  <c r="K33" i="35574" s="1"/>
  <c r="F35" i="35574"/>
  <c r="G34" i="35574" l="1"/>
  <c r="N37" i="35601"/>
  <c r="H17" i="35581" s="1"/>
  <c r="M17" i="35581" s="1"/>
  <c r="N20" i="35581" s="1"/>
  <c r="K60" i="35600"/>
  <c r="F59" i="35600"/>
  <c r="M60" i="35600"/>
  <c r="L60" i="35600" s="1"/>
  <c r="G60" i="35600"/>
  <c r="J60" i="35600" s="1"/>
  <c r="F36" i="35574"/>
  <c r="J34" i="35574"/>
  <c r="K34" i="35574" s="1"/>
  <c r="G35" i="35574" l="1"/>
  <c r="N38" i="35601"/>
  <c r="L17" i="35581" s="1"/>
  <c r="G59" i="35600"/>
  <c r="J59" i="35600" s="1"/>
  <c r="F58" i="35600"/>
  <c r="K59" i="35600"/>
  <c r="M59" i="35600"/>
  <c r="L59" i="35600" s="1"/>
  <c r="J35" i="35574"/>
  <c r="K35" i="35574" s="1"/>
  <c r="F37" i="35574"/>
  <c r="G36" i="35574" l="1"/>
  <c r="F57" i="35600"/>
  <c r="G58" i="35600"/>
  <c r="J58" i="35600" s="1"/>
  <c r="K58" i="35600"/>
  <c r="M58" i="35600"/>
  <c r="L58" i="35600" s="1"/>
  <c r="F38" i="35574"/>
  <c r="J36" i="35574"/>
  <c r="K36" i="35574" s="1"/>
  <c r="G37" i="35574" l="1"/>
  <c r="G57" i="35600"/>
  <c r="J57" i="35600" s="1"/>
  <c r="F56" i="35600"/>
  <c r="K57" i="35600"/>
  <c r="M57" i="35600"/>
  <c r="L57" i="35600" s="1"/>
  <c r="J37" i="35574"/>
  <c r="K37" i="35574" s="1"/>
  <c r="F39" i="35574"/>
  <c r="G38" i="35574" l="1"/>
  <c r="F55" i="35600"/>
  <c r="M56" i="35600"/>
  <c r="L56" i="35600" s="1"/>
  <c r="K56" i="35600"/>
  <c r="G56" i="35600"/>
  <c r="J56" i="35600" s="1"/>
  <c r="F40" i="35574"/>
  <c r="J38" i="35574"/>
  <c r="K38" i="35574" s="1"/>
  <c r="G39" i="35574" l="1"/>
  <c r="F420" i="35600"/>
  <c r="F53" i="35600"/>
  <c r="F48" i="35600" s="1"/>
  <c r="K55" i="35600"/>
  <c r="G55" i="35600"/>
  <c r="M55" i="35600"/>
  <c r="J39" i="35574"/>
  <c r="K39" i="35574" s="1"/>
  <c r="F41" i="35574"/>
  <c r="G40" i="35574" l="1"/>
  <c r="G420" i="35600"/>
  <c r="G53" i="35600" s="1"/>
  <c r="J55" i="35600"/>
  <c r="M420" i="35600"/>
  <c r="L55" i="35600"/>
  <c r="K53" i="35600"/>
  <c r="L53" i="35600" s="1"/>
  <c r="K420" i="35600"/>
  <c r="F42" i="35574"/>
  <c r="J40" i="35574"/>
  <c r="K40" i="35574" s="1"/>
  <c r="G41" i="35574" l="1"/>
  <c r="M53" i="35600"/>
  <c r="L420" i="35600"/>
  <c r="J422" i="35600"/>
  <c r="J423" i="35600"/>
  <c r="J41" i="35574"/>
  <c r="K41" i="35574" s="1"/>
  <c r="F43" i="35574"/>
  <c r="G42" i="35574" l="1"/>
  <c r="J424" i="35600"/>
  <c r="J53" i="35600" s="1"/>
  <c r="H18" i="35581" s="1"/>
  <c r="C48" i="35600"/>
  <c r="O53" i="35600"/>
  <c r="J42" i="35574"/>
  <c r="K42" i="35574" s="1"/>
  <c r="F44" i="35574"/>
  <c r="G43" i="35574" l="1"/>
  <c r="N48" i="35600"/>
  <c r="I18" i="35581"/>
  <c r="L18" i="35581" s="1"/>
  <c r="J43" i="35574"/>
  <c r="K43" i="35574" s="1"/>
  <c r="F45" i="35574"/>
  <c r="G44" i="35574" l="1"/>
  <c r="F46" i="35574"/>
  <c r="J44" i="35574"/>
  <c r="K44" i="35574" s="1"/>
  <c r="G45" i="35574" l="1"/>
  <c r="J45" i="35574"/>
  <c r="K45" i="35574" s="1"/>
  <c r="J46" i="35574"/>
  <c r="G46" i="35574" l="1"/>
  <c r="K46" i="35574"/>
  <c r="L43" i="35574" s="1"/>
  <c r="M45" i="35574"/>
  <c r="L39" i="35574" l="1"/>
  <c r="L36" i="35574"/>
  <c r="L32" i="35574"/>
  <c r="L30" i="35574"/>
  <c r="L29" i="35574"/>
  <c r="L28" i="35574"/>
  <c r="L34" i="35574"/>
  <c r="L42" i="35574"/>
  <c r="Q26" i="35574"/>
  <c r="L27" i="35574"/>
  <c r="L44" i="35574"/>
  <c r="L45" i="35574"/>
  <c r="L41" i="35574"/>
  <c r="L40" i="35574"/>
  <c r="L37" i="35574"/>
  <c r="L38" i="35574"/>
  <c r="L35" i="35574"/>
  <c r="L33" i="35574"/>
  <c r="L31" i="35574"/>
  <c r="Q39" i="35574"/>
  <c r="Q40" i="35574" s="1"/>
  <c r="L26" i="35574"/>
  <c r="Q34" i="35574"/>
  <c r="Q35" i="35574" s="1"/>
  <c r="L46" i="35574"/>
  <c r="B21" i="35574"/>
  <c r="Q27" i="35574" l="1"/>
  <c r="Q28" i="35574" s="1"/>
  <c r="H15" i="35581"/>
  <c r="M15" i="35581" s="1"/>
  <c r="Q36" i="35574" l="1"/>
  <c r="Q41" i="35574"/>
  <c r="H76" i="35581"/>
  <c r="M73" i="35581"/>
  <c r="H32" i="35581" s="1"/>
  <c r="M32" i="35581" s="1"/>
  <c r="I15" i="35581"/>
  <c r="L15" i="35581" s="1"/>
  <c r="Q48" i="35574"/>
  <c r="I32" i="35581" l="1"/>
  <c r="L32" i="35581" s="1"/>
  <c r="I76" i="35581"/>
  <c r="L76" i="35581" s="1"/>
  <c r="W32" i="35581"/>
  <c r="W34" i="35581" s="1"/>
  <c r="W35" i="35581" l="1"/>
  <c r="W36" i="35581" s="1"/>
  <c r="W37" i="35581" s="1"/>
  <c r="W38" i="35581" s="1"/>
  <c r="W39" i="35581" s="1"/>
  <c r="W40" i="35581" s="1"/>
  <c r="W41" i="35581" s="1"/>
  <c r="W42" i="35581" s="1"/>
  <c r="W45" i="35581" l="1"/>
  <c r="W46" i="35581" s="1"/>
  <c r="C35" i="35581" s="1"/>
  <c r="H35" i="35581" s="1"/>
  <c r="L35" i="35581" s="1"/>
  <c r="J46" i="35581" l="1"/>
  <c r="J47" i="35581" s="1"/>
  <c r="J43" i="35581" l="1"/>
  <c r="J44" i="35581"/>
  <c r="J48" i="35581" s="1"/>
</calcChain>
</file>

<file path=xl/comments1.xml><?xml version="1.0" encoding="utf-8"?>
<comments xmlns="http://schemas.openxmlformats.org/spreadsheetml/2006/main">
  <authors>
    <author>Reddin, Bernhard</author>
    <author>Walgenbach</author>
    <author>Walgenbach Heinz-Peter</author>
    <author>walgenbach</author>
  </authors>
  <commentList>
    <comment ref="AB2" authorId="0" shapeId="0">
      <text>
        <r>
          <rPr>
            <sz val="9"/>
            <color indexed="81"/>
            <rFont val="Segoe UI"/>
            <family val="2"/>
          </rPr>
          <t xml:space="preserve">
</t>
        </r>
        <r>
          <rPr>
            <b/>
            <sz val="12"/>
            <color indexed="81"/>
            <rFont val="Segoe UI"/>
            <family val="2"/>
          </rPr>
          <t>SGD-Nord Version</t>
        </r>
      </text>
    </comment>
    <comment ref="B12" authorId="1" shapeId="0">
      <text>
        <r>
          <rPr>
            <sz val="14"/>
            <color indexed="81"/>
            <rFont val="Tahoma"/>
            <family val="2"/>
          </rPr>
          <t xml:space="preserve">
Die Dateneingabe ist nur über </t>
        </r>
        <r>
          <rPr>
            <b/>
            <sz val="14"/>
            <color indexed="81"/>
            <rFont val="Tahoma"/>
            <family val="2"/>
          </rPr>
          <t>gelbe, hellblaue und dunkelblaue Felder</t>
        </r>
        <r>
          <rPr>
            <sz val="14"/>
            <color indexed="81"/>
            <rFont val="Tahoma"/>
            <family val="2"/>
          </rPr>
          <t xml:space="preserve"> möglich. 
Die gelben Felder sind von grundlegender Bedeutung und die hellblauen liefern Zusatzinformationen. 
In dunkelblauen Feldern werden durch das Programm Werte vorgeschlagen; hinterlegte Formeln oder Werte gehen durch eine Eingabe verloren. 
Felder mit </t>
        </r>
        <r>
          <rPr>
            <b/>
            <sz val="14"/>
            <color indexed="81"/>
            <rFont val="Tahoma"/>
            <family val="2"/>
          </rPr>
          <t xml:space="preserve">roten Ecken </t>
        </r>
        <r>
          <rPr>
            <sz val="14"/>
            <color indexed="81"/>
            <rFont val="Tahoma"/>
            <family val="2"/>
          </rPr>
          <t xml:space="preserve">enthalten weitere Anwendungsinformationen.
Wenn Daten eingefügt werden, die aus anderen Quellen </t>
        </r>
        <r>
          <rPr>
            <b/>
            <sz val="14"/>
            <color indexed="81"/>
            <rFont val="Tahoma"/>
            <family val="2"/>
          </rPr>
          <t>kopiert</t>
        </r>
        <r>
          <rPr>
            <sz val="14"/>
            <color indexed="81"/>
            <rFont val="Tahoma"/>
            <family val="2"/>
          </rPr>
          <t xml:space="preserve"> wurden, sind diese nur als "WERTE" einzufügen (Inhalte einfügen/Werte), da ansonsten Auslesefehler entstehen können. 
Bei Anlagen </t>
        </r>
        <r>
          <rPr>
            <b/>
            <sz val="14"/>
            <color indexed="81"/>
            <rFont val="Tahoma"/>
            <family val="2"/>
          </rPr>
          <t>ohne automatische Durchflussmessung</t>
        </r>
        <r>
          <rPr>
            <sz val="14"/>
            <color indexed="81"/>
            <rFont val="Tahoma"/>
            <family val="2"/>
          </rPr>
          <t xml:space="preserve"> wird die Angabe des arithmetischen Mittels der CSB-Trockenwetterzulaufkonzentration des betreffenden Jahres auf dem Blatt "JSM Fremdwasser" unbedingt  erforderlich. 
Muss in einem Netz mehr als ein Regennachlauftag berücksichtigt werden, so ist dies mit der zuständigen Wasserbehörde abzustimmen.
Schaltjahre wurden in dieser Programmfassung nicht berücksichtigt, so dass der 29. Februar unberücksichtigt bleibt. Es ist eine entsprechende Anpassung in einer späteren Fassung vorgesehen. 
Bei fehlenden oder offensichtlich fehlerhaften Tagesmessungen bitte Feld frei lassen oder begründeten Schätzwert eintragen. Bitte NICHT 0 oder andere Infos eintragen!
Die einzelnen Blätter des Programms sind alle mit JSM... benannt und mit einander verknüpft. Sie sollen nicht einzeln heraus kopiert werden, da daduch falsche Ergebnisse entstehen können. 
Bei KA mit größeren Aufenthaltszeiten und dei SBR- Anlagen ist nur die Zulaufmengenmessung für die Auswertung sinnvoll.
Bei reinen Trennsystemen entspricht die JSM der aufgezeichneten Gesamtmenge.
</t>
        </r>
        <r>
          <rPr>
            <sz val="12"/>
            <color indexed="81"/>
            <rFont val="Tahoma"/>
            <family val="2"/>
          </rPr>
          <t xml:space="preserve">Dieses Programm wurde durch den Fachbereich "Abwasserwesen, Gewässergüte" der Regionalstelle Wasserwirtschaft Abfallwirtschaft Bodenschutz bei der SGD Nord in Koblenz als Hilfsmittel für die Ermittlung der JSM entwickelt. Es entbindet nicht von der fachkundigen Ausarbeitung und der Eigenverantwortung für die übermittelten Ergebnisse. Für die Richtigkeit des Programms wird keine Gewähr übernommen. Der Anwender erkennt durch Anwendung des Programms den Haftungsausschluss der SGD für die Folgen der Anwendung sowie für eventuell entstehende Schäden, auch an Hard- oder Software, ausdrücklich an. </t>
        </r>
        <r>
          <rPr>
            <sz val="14"/>
            <color indexed="81"/>
            <rFont val="Tahoma"/>
            <family val="2"/>
          </rPr>
          <t xml:space="preserve">
</t>
        </r>
      </text>
    </comment>
    <comment ref="K12" authorId="2" shapeId="0">
      <text>
        <r>
          <rPr>
            <b/>
            <sz val="12"/>
            <color indexed="81"/>
            <rFont val="Tahoma"/>
            <family val="2"/>
          </rPr>
          <t xml:space="preserve">
</t>
        </r>
        <r>
          <rPr>
            <b/>
            <sz val="16"/>
            <color indexed="81"/>
            <rFont val="Tahoma"/>
            <family val="2"/>
          </rPr>
          <t>angeschlossene Einwohner</t>
        </r>
        <r>
          <rPr>
            <sz val="16"/>
            <color indexed="81"/>
            <rFont val="Tahoma"/>
            <family val="2"/>
          </rPr>
          <t xml:space="preserve">;
insoweit die angeschlossenen Einwohnergleichwerte für die JSM-Ermittlung von Bedeutung sein sollten, sind diese einzurechnen. </t>
        </r>
      </text>
    </comment>
    <comment ref="R12" authorId="1" shapeId="0">
      <text>
        <r>
          <rPr>
            <b/>
            <sz val="11"/>
            <color indexed="81"/>
            <rFont val="Tahoma"/>
            <family val="2"/>
          </rPr>
          <t>Vor Verlustabzug</t>
        </r>
      </text>
    </comment>
    <comment ref="AA12" authorId="1" shapeId="0">
      <text>
        <r>
          <rPr>
            <b/>
            <sz val="10"/>
            <color indexed="81"/>
            <rFont val="Tahoma"/>
            <family val="2"/>
          </rPr>
          <t xml:space="preserve">
Angabe ist nicht für die Ermittlung erforderlich, wird aber erbeten, damit eine bessere Beurteilung möglich ist. </t>
        </r>
      </text>
    </comment>
    <comment ref="AA13" authorId="1" shapeId="0">
      <text>
        <r>
          <rPr>
            <b/>
            <sz val="10"/>
            <color indexed="81"/>
            <rFont val="Tahoma"/>
            <family val="2"/>
          </rPr>
          <t xml:space="preserve">
Angabe ist nicht für die Ermittlung erforderlich, wird aber erbeten, damit eine bessere Beurteilung möglich ist. </t>
        </r>
      </text>
    </comment>
    <comment ref="R15" authorId="1" shapeId="0">
      <text>
        <r>
          <rPr>
            <b/>
            <sz val="11"/>
            <color indexed="81"/>
            <rFont val="Tahoma"/>
            <family val="2"/>
          </rPr>
          <t xml:space="preserve">
soweit nicht im Frischwasser-verbrauch des kommunalen Netzes  erfasst</t>
        </r>
        <r>
          <rPr>
            <b/>
            <sz val="8"/>
            <color indexed="81"/>
            <rFont val="Tahoma"/>
            <family val="2"/>
          </rPr>
          <t xml:space="preserve">
</t>
        </r>
      </text>
    </comment>
    <comment ref="AA15" authorId="1" shapeId="0">
      <text>
        <r>
          <rPr>
            <b/>
            <sz val="10"/>
            <color indexed="81"/>
            <rFont val="Tahoma"/>
            <family val="2"/>
          </rPr>
          <t xml:space="preserve">
Angabe ist nicht für die Ermittlung erforderlich, wird aber erbeten, damit eine bessere Beurteilung möglich ist. </t>
        </r>
      </text>
    </comment>
    <comment ref="K16" authorId="0" shapeId="0">
      <text>
        <r>
          <rPr>
            <sz val="14"/>
            <color indexed="81"/>
            <rFont val="Tahoma"/>
            <family val="2"/>
          </rPr>
          <t>Nur für die Plausibilitätskontrolle der Tages Wassermengen.</t>
        </r>
      </text>
    </comment>
    <comment ref="AA16" authorId="1" shapeId="0">
      <text>
        <r>
          <rPr>
            <b/>
            <sz val="10"/>
            <color indexed="81"/>
            <rFont val="Tahoma"/>
            <family val="2"/>
          </rPr>
          <t xml:space="preserve">
Angabe ist nicht für die Ermittlung erforderlich, wird aber erbeten, damit eine bessere Beurteilung möglich ist. </t>
        </r>
      </text>
    </comment>
    <comment ref="K17" authorId="1" shapeId="0">
      <text>
        <r>
          <rPr>
            <sz val="14"/>
            <color indexed="81"/>
            <rFont val="Tahoma"/>
            <family val="2"/>
          </rPr>
          <t>Nur für die Darstellung im Diagramm und die Plausibilitätskontrolle erforderlich.</t>
        </r>
      </text>
    </comment>
    <comment ref="AA17" authorId="1" shapeId="0">
      <text>
        <r>
          <rPr>
            <b/>
            <sz val="10"/>
            <color indexed="81"/>
            <rFont val="Tahoma"/>
            <family val="2"/>
          </rPr>
          <t xml:space="preserve">
Angabe ist nicht für die Ermittlung erforderlich, wird aber erbeten, damit eine bessere Beurteilung möglich ist. </t>
        </r>
      </text>
    </comment>
    <comment ref="K18" authorId="1" shapeId="0">
      <text>
        <r>
          <rPr>
            <sz val="14"/>
            <color indexed="81"/>
            <rFont val="Tahoma"/>
            <family val="2"/>
          </rPr>
          <t>Nur für die Darstellung im Diagramm "gleitendes Minimum" erforderlich.</t>
        </r>
      </text>
    </comment>
    <comment ref="AA18" authorId="1" shapeId="0">
      <text>
        <r>
          <rPr>
            <b/>
            <sz val="10"/>
            <color indexed="81"/>
            <rFont val="Tahoma"/>
            <family val="2"/>
          </rPr>
          <t xml:space="preserve">
Angabe ist nicht für die Ermittlung erforderlich, wird aber erbeten, damit eine bessere Beurteilung möglich ist. </t>
        </r>
      </text>
    </comment>
    <comment ref="F23" authorId="3" shapeId="0">
      <text>
        <r>
          <rPr>
            <b/>
            <sz val="14"/>
            <color indexed="81"/>
            <rFont val="Tahoma"/>
            <family val="2"/>
          </rPr>
          <t>Verweis auf 
JSM Fremdwasser Zelle 
I41</t>
        </r>
      </text>
    </comment>
    <comment ref="AA23" authorId="0" shapeId="0">
      <text>
        <r>
          <rPr>
            <b/>
            <sz val="9"/>
            <color indexed="81"/>
            <rFont val="Segoe UI"/>
            <family val="2"/>
          </rPr>
          <t>Reddin, Bernhard:</t>
        </r>
        <r>
          <rPr>
            <sz val="9"/>
            <color indexed="81"/>
            <rFont val="Segoe UI"/>
            <family val="2"/>
          </rPr>
          <t xml:space="preserve">
</t>
        </r>
        <r>
          <rPr>
            <b/>
            <sz val="9"/>
            <color indexed="81"/>
            <rFont val="Segoe UI"/>
            <family val="2"/>
          </rPr>
          <t>Bei der Verwendung des Wetterschlüssels 8 die Kriterien zur Vergabe desgleichen mit angeben. Z. B. in den Bemerkungen</t>
        </r>
      </text>
    </comment>
    <comment ref="AA24" authorId="1" shapeId="0">
      <text>
        <r>
          <rPr>
            <b/>
            <sz val="8"/>
            <color indexed="81"/>
            <rFont val="Tahoma"/>
            <family val="2"/>
          </rPr>
          <t xml:space="preserve">Walgenbach:
</t>
        </r>
        <r>
          <rPr>
            <b/>
            <sz val="14"/>
            <color indexed="81"/>
            <rFont val="Tahoma"/>
            <family val="2"/>
          </rPr>
          <t>Siehe VV zur Ermittlung der JSM, RdErl. D. Ministeriums für Umwelt, Raumordnung und Landwirtschaft NRW v. 4.2.91, IV B 6-031 003 0101/IV B 5 - 676/5-28728,
veröffentlicht im Min-Blatt NRW Nr. 1.6 v. 25.3.1991</t>
        </r>
      </text>
    </comment>
    <comment ref="G60" authorId="1" shapeId="0">
      <text>
        <r>
          <rPr>
            <sz val="8"/>
            <color indexed="81"/>
            <rFont val="Tahoma"/>
            <family val="2"/>
          </rPr>
          <t xml:space="preserve">
</t>
        </r>
        <r>
          <rPr>
            <sz val="11"/>
            <color indexed="81"/>
            <rFont val="Tahoma"/>
            <family val="2"/>
          </rPr>
          <t>ein hier gemessenerWert möglichst in eine Lücke eintragen und dort als Kommentar vermerken</t>
        </r>
      </text>
    </comment>
    <comment ref="AF91" authorId="1" shapeId="0">
      <text>
        <r>
          <rPr>
            <sz val="10"/>
            <color indexed="81"/>
            <rFont val="Tahoma"/>
            <family val="2"/>
          </rPr>
          <t xml:space="preserve">Es fehlt mindestens ein ganzer Monat </t>
        </r>
      </text>
    </comment>
    <comment ref="Q102" authorId="1" shapeId="0">
      <text>
        <r>
          <rPr>
            <sz val="11"/>
            <color indexed="81"/>
            <rFont val="Tahoma"/>
            <family val="2"/>
          </rPr>
          <t xml:space="preserve">
Mittel ziwschen dem Kleinstwert und dem ohne HW ermittelten mittleren Tageswert des Jahres . </t>
        </r>
      </text>
    </comment>
  </commentList>
</comments>
</file>

<file path=xl/comments2.xml><?xml version="1.0" encoding="utf-8"?>
<comments xmlns="http://schemas.openxmlformats.org/spreadsheetml/2006/main">
  <authors>
    <author>Walgenbach</author>
  </authors>
  <commentList>
    <comment ref="O14" authorId="0" shapeId="0">
      <text>
        <r>
          <rPr>
            <b/>
            <sz val="10"/>
            <color indexed="81"/>
            <rFont val="Tahoma"/>
            <family val="2"/>
          </rPr>
          <t xml:space="preserve">
Extreme Tagesmessergebnisse beeinflussen die Klassenbreite maßgeblich. Sie sind daher auf ihre Richtigkeit hin zu überprüfen. 
Die Klassenbreite hat erhbelichen Einfluss auf das Ergebnis. Daher sollten die Voreinstellungen nur in begründeten Fällen verändert werden. 
Ggf. duch leichte Veränderung der Klassenbreite bzw. des Eingangswertes dafür sorgen, dass möglichst alle Messungen in (20) Klassen enthalten sind. Gleichzeitig soll eine möglichst saubere gaußsche Verteilung erkennbar sein. 
</t>
        </r>
      </text>
    </comment>
    <comment ref="C20" authorId="0" shapeId="0">
      <text>
        <r>
          <rPr>
            <b/>
            <sz val="12"/>
            <color indexed="81"/>
            <rFont val="Tahoma"/>
            <family val="2"/>
          </rPr>
          <t>Wert nur in engen Grenzen verändern</t>
        </r>
      </text>
    </comment>
    <comment ref="C24" authorId="0" shapeId="0">
      <text>
        <r>
          <rPr>
            <b/>
            <sz val="10"/>
            <color indexed="81"/>
            <rFont val="Tahoma"/>
            <family val="2"/>
          </rPr>
          <t>Die hinterlegte Formel liefert den
Kleinstwert im Klassenmittel. Der Wert sollte nicht geändert werden.</t>
        </r>
      </text>
    </comment>
    <comment ref="N28" authorId="0" shapeId="0">
      <text>
        <r>
          <rPr>
            <b/>
            <sz val="8"/>
            <color indexed="81"/>
            <rFont val="Tahoma"/>
            <family val="2"/>
          </rPr>
          <t>X  nur einmal vergeben</t>
        </r>
      </text>
    </comment>
    <comment ref="Q28" authorId="0" shapeId="0">
      <text>
        <r>
          <rPr>
            <sz val="9"/>
            <color indexed="81"/>
            <rFont val="Tahoma"/>
            <family val="2"/>
          </rPr>
          <t>Dieser Wert wird in das Ergebnisblatt übernommen, sofern kein anderes Ergebnis angekreutzt wird</t>
        </r>
      </text>
    </comment>
  </commentList>
</comments>
</file>

<file path=xl/comments3.xml><?xml version="1.0" encoding="utf-8"?>
<comments xmlns="http://schemas.openxmlformats.org/spreadsheetml/2006/main">
  <authors>
    <author>Walgenbach</author>
  </authors>
  <commentList>
    <comment ref="B15" authorId="0" shapeId="0">
      <text>
        <r>
          <rPr>
            <b/>
            <sz val="9"/>
            <color indexed="81"/>
            <rFont val="Tahoma"/>
            <family val="2"/>
          </rPr>
          <t xml:space="preserve">
Für die rechnerische Herleitung der täglichen Trockenwetterabflüsse wird unter Bezug auf ATV-DVWK-A 198 Nr. 4.2.2.1 der Polygon der gleitenden 21-Tage-Minima der täglichen Abflüsse gebildet (Intervall 10 Tage vor und 10 Tage nach dem betrachteten Tag). Alle bis zu 20 % über diesem Polygon vorhandenen täglichen Abflüsse gelten dann als Trockenwetterabflüsse. Der Wert von 20 % entspricht in etwa der Schwankungsbreite des täglichen Trockenwetterabflusses bei konstantem Fremdwasserzufluss. (Mit abnehmender Dauer des Intervalls steigen die Zahl der Trockenwettertage und das Jahresmittel des Trockenwetterabflusses.)   </t>
        </r>
      </text>
    </comment>
  </commentList>
</comments>
</file>

<file path=xl/comments4.xml><?xml version="1.0" encoding="utf-8"?>
<comments xmlns="http://schemas.openxmlformats.org/spreadsheetml/2006/main">
  <authors>
    <author>Walgenbach</author>
  </authors>
  <commentList>
    <comment ref="E12" authorId="0" shapeId="0">
      <text>
        <r>
          <rPr>
            <b/>
            <sz val="9"/>
            <color indexed="81"/>
            <rFont val="Tahoma"/>
            <family val="2"/>
          </rPr>
          <t xml:space="preserve">
Haben Kläranlagen größere Einzugsgebiete und nicht leicht zu überschauende Fließverhältnisse (Stauraumkanäle, Regenüberlaufbecken, lange Nachlaufzeiten), so ist es schwierig, Trockenwetter- und Regenwetterzeiten von einander zu unterscheiden.
In diesem Fall bietet sich eine Auswertung des Betriebstagebuches über das ganze Jahr an. Die Werte werden der Größe nach geordnet und über die Zeitachse aufgetragen. Es entsteht die Jahresdauerlinie. Auf der Zeitachse läßt sich die Grenze zwischen niederschlagsfreien Tagen und Tagen mit Niederschlag eintragen. Der maßgebliche Wert fällt in der Regel in den Wendepunkt der Kurve. 
Die JSM wird ermittelt, indem der halbierte Wert der Zeitgrenze als mittlerer Trockenwetterabfluss abgegriffen und auf das Jahr hochgerechnet wird. 
</t>
        </r>
        <r>
          <rPr>
            <b/>
            <sz val="8"/>
            <color indexed="81"/>
            <rFont val="Tahoma"/>
            <family val="2"/>
          </rPr>
          <t xml:space="preserve">
</t>
        </r>
      </text>
    </comment>
    <comment ref="E20" authorId="0" shapeId="0">
      <text>
        <r>
          <rPr>
            <sz val="11"/>
            <color indexed="81"/>
            <rFont val="Tahoma"/>
            <family val="2"/>
          </rPr>
          <t xml:space="preserve">
Mittel ziwschen dem Kleinstwert und dem ohne HW ermittelten mittleren Tageswert des Jahres . </t>
        </r>
      </text>
    </comment>
    <comment ref="E26" authorId="0" shapeId="0">
      <text>
        <r>
          <rPr>
            <b/>
            <sz val="8"/>
            <color indexed="81"/>
            <rFont val="Tahoma"/>
            <family val="2"/>
          </rPr>
          <t xml:space="preserve"> 
Bei Hochwasser und fehlender Tagesmessung wird für die Dauerlinie und das gleitende Minimum dieser Ersatzwert eingesetzt.
Es ist das mittlere TW vorgewählt. 
</t>
        </r>
      </text>
    </comment>
  </commentList>
</comments>
</file>

<file path=xl/comments5.xml><?xml version="1.0" encoding="utf-8"?>
<comments xmlns="http://schemas.openxmlformats.org/spreadsheetml/2006/main">
  <authors>
    <author>Walgenbach</author>
    <author>walgenbach</author>
  </authors>
  <commentList>
    <comment ref="E12" authorId="0" shapeId="0">
      <text>
        <r>
          <rPr>
            <b/>
            <sz val="9"/>
            <color indexed="81"/>
            <rFont val="Tahoma"/>
            <family val="2"/>
          </rPr>
          <t xml:space="preserve">
Für die Dreiecksmethode werden die Tagesabflüsse der Größe nach sortiert. Als horizontale Linie wird der Schmutzwasserabfluss (= Wasserverbrauch) eintragen, der als konstant angesetzt wird (blau gestrichelt). Von rechts her wird dann die Anzahl der Regen- und Regennachlauftage abgetragen. 
Eine schräge Gerade trennt das Fremdwasser vom Regenwasser (graue Fläche). Mit dieser einfachen Hilfskonstruktion wird die Infiltration in die Kanäle in Abhängigkeit vom Füllgrad der Kanäle berücksichtigt. 
Der daraus ermittelte mittlere Fremdwasserzufluss ist als gelbe Fläche über der blau strichlierten Fläche des Frisch- bzw. Abwasseranfalls dargestellt. 
Dieses Verfahren ist dann nicht zielführend, wenn das Fremdwasser wegen dichter Kanäle hauptsächlich über Fehlanschlüsse bzw. Drainagen eindringt und eine Infiltration nicht stattfindet. 
</t>
        </r>
        <r>
          <rPr>
            <b/>
            <sz val="8"/>
            <color indexed="81"/>
            <rFont val="Tahoma"/>
            <family val="2"/>
          </rPr>
          <t xml:space="preserve">
</t>
        </r>
        <r>
          <rPr>
            <sz val="10"/>
            <color indexed="81"/>
            <rFont val="Tahoma"/>
            <family val="2"/>
          </rPr>
          <t>Hinweise zum Verfahren siehe KA 2003 (50) Nr. 1  S. 70 ff.</t>
        </r>
      </text>
    </comment>
    <comment ref="U15" authorId="1" shapeId="0">
      <text>
        <r>
          <rPr>
            <b/>
            <sz val="16"/>
            <color indexed="81"/>
            <rFont val="Tahoma"/>
            <family val="2"/>
          </rPr>
          <t>Tag der TW/RW-Scheide</t>
        </r>
      </text>
    </comment>
    <comment ref="E20" authorId="0" shapeId="0">
      <text>
        <r>
          <rPr>
            <sz val="11"/>
            <color indexed="81"/>
            <rFont val="Tahoma"/>
            <family val="2"/>
          </rPr>
          <t xml:space="preserve">
Mittel ziwschen dem Kleinstwert und dem ohne HW ermittelten mittleren Tageswert des Jahres . </t>
        </r>
      </text>
    </comment>
    <comment ref="E26" authorId="0" shapeId="0">
      <text>
        <r>
          <rPr>
            <b/>
            <sz val="8"/>
            <color indexed="81"/>
            <rFont val="Tahoma"/>
            <family val="2"/>
          </rPr>
          <t xml:space="preserve"> 
Bei Hochwasser und fehlender Tagesmessung wird für die Dauerlinie und das gleitende Minimum dieser Ersatzwert eingesetzt.
Es ist das mittlere TW vorgewählt. 
</t>
        </r>
      </text>
    </comment>
  </commentList>
</comments>
</file>

<file path=xl/comments6.xml><?xml version="1.0" encoding="utf-8"?>
<comments xmlns="http://schemas.openxmlformats.org/spreadsheetml/2006/main">
  <authors>
    <author>Walgenbach</author>
    <author>walgenbach</author>
  </authors>
  <commentList>
    <comment ref="B17" authorId="0" shapeId="0">
      <text>
        <r>
          <rPr>
            <b/>
            <sz val="10"/>
            <color indexed="81"/>
            <rFont val="Tahoma"/>
            <family val="2"/>
          </rPr>
          <t xml:space="preserve">
Die nach der Eigenüberwachungsverordnung mindestens halbjährlich vorzunehmende Fremdwasserbestimmung sollte wegen der starken Schwankungen des Fremdwassers monatlich durchgeführt werden.
Sollten jedoch diese Daten nicht verwertet werden können, ist die CSB- Trockenwetter- Zulaufkonzentration im Jahresmittel anzugeben. In die Gegenüberstellung der Ergebnisse im Blatt JSM Ergebnisse wird das höchste Ergebnis übernommen. </t>
        </r>
      </text>
    </comment>
    <comment ref="E19" authorId="0" shapeId="0">
      <text>
        <r>
          <rPr>
            <sz val="9"/>
            <color indexed="81"/>
            <rFont val="Tahoma"/>
            <family val="2"/>
          </rPr>
          <t>Die freie Eingabe eines Wertes löscht die hinterlegte Abfrage</t>
        </r>
      </text>
    </comment>
    <comment ref="I40" authorId="1" shapeId="0">
      <text>
        <r>
          <rPr>
            <sz val="8"/>
            <color indexed="81"/>
            <rFont val="Tahoma"/>
            <family val="2"/>
          </rPr>
          <t xml:space="preserve">
Bei Anlagen ohne automatische Durchflussmengenmessung ist hier die Angabe des arithmetischen Mittels der CSB-Trockenwetterzulaufkonzentration des betreffenden Jahres unbedingt erforderlich
Bei fehlender Fremdwasserbestimmung ist die Angabe der CSB-Trockenwetter-zulaufkonzentration im Jahresmittel erforderlich
Die CSB-Trockenwetter-Zulaufkonzentration nur dann angeben, wenn hierdurch ein sichereres Ergebnis als nach dem Meßprotokoll erzielt wird. Der höhere Wert wird übernommen.</t>
        </r>
      </text>
    </comment>
    <comment ref="E42" authorId="0" shapeId="0">
      <text>
        <r>
          <rPr>
            <b/>
            <sz val="8"/>
            <color indexed="81"/>
            <rFont val="Tahoma"/>
            <family val="2"/>
          </rPr>
          <t xml:space="preserve">
Die an 85% der Tage unterschrittene Fracht beträgt nach A 131  ohne Berücksichtigung des Schlammwassers
 120 g/(E*d) (voreingestellt)
</t>
        </r>
      </text>
    </comment>
    <comment ref="O43" authorId="0" shapeId="0">
      <text>
        <r>
          <rPr>
            <b/>
            <sz val="8"/>
            <color rgb="FF000000"/>
            <rFont val="Tahoma"/>
            <family val="2"/>
          </rPr>
          <t xml:space="preserve">
Wenn der nach dem Zulauf-CSB ermittelte Fremdwasseranteil nicht gewertet werden soll, kann hier die CSB-Konzentration ohne Fremdwasser eingetragen werden (voreingestellt).</t>
        </r>
      </text>
    </comment>
    <comment ref="P45" authorId="1" shapeId="0">
      <text>
        <r>
          <rPr>
            <b/>
            <sz val="8"/>
            <color indexed="81"/>
            <rFont val="Tahoma"/>
            <family val="2"/>
          </rPr>
          <t>CSB-TW-Konzentration im Jahresmittel geteilt durch CSB-Konzentration bei 0 % Fremdwasser</t>
        </r>
      </text>
    </comment>
  </commentList>
</comments>
</file>

<file path=xl/comments7.xml><?xml version="1.0" encoding="utf-8"?>
<comments xmlns="http://schemas.openxmlformats.org/spreadsheetml/2006/main">
  <authors>
    <author>Walgenbach</author>
    <author>walgenbach</author>
  </authors>
  <commentList>
    <comment ref="M13" authorId="0" shapeId="0">
      <text>
        <r>
          <rPr>
            <b/>
            <sz val="10"/>
            <color indexed="81"/>
            <rFont val="Tahoma"/>
            <family val="2"/>
          </rPr>
          <t xml:space="preserve">Hier besteht die Möglichkeit, die einzelnen Ergebnisse hinsichtlich ihrer Plausibilität und Verwertbarkeit zu wichten. 
Bitte 0 eingeben, wenn das Ergebnis nicht berücksichtigt werden soll und 1 eingeben, wenn es gewertet werden soll. Es sind auch andere Wichtungseinteilungen möglich. </t>
        </r>
      </text>
    </comment>
    <comment ref="N13" authorId="0" shapeId="0">
      <text>
        <r>
          <rPr>
            <b/>
            <sz val="8"/>
            <color indexed="81"/>
            <rFont val="Tahoma"/>
            <family val="2"/>
          </rPr>
          <t xml:space="preserve">
Benennung von Kriterien, weshalb das jeweilige Verfahren verwendet, abgelehnt oder nur eingeschränkt verwendet werden kann.</t>
        </r>
      </text>
    </comment>
    <comment ref="M15" authorId="0" shapeId="0">
      <text>
        <r>
          <rPr>
            <b/>
            <sz val="10"/>
            <color indexed="81"/>
            <rFont val="Tahoma"/>
            <family val="2"/>
          </rPr>
          <t xml:space="preserve">
Wenn das Ergebnis nicht gewertet werden soll, ist   0   einzutragen.
Achtung, auf dem Blatt "JSM Dichtemittel" die Verteilung der Spitzen kontrollieren!
Bei sehr großen Netzen  kann das  nach dem Dichtemittel gewonnene Ergenis unplausibel ausfallen.</t>
        </r>
      </text>
    </comment>
    <comment ref="M16" authorId="0" shapeId="0">
      <text>
        <r>
          <rPr>
            <b/>
            <sz val="10"/>
            <color indexed="81"/>
            <rFont val="Tahoma"/>
            <family val="2"/>
          </rPr>
          <t xml:space="preserve">
Wenn das Ergebnis nicht gewertet werden soll, ist   0   einzutragen.
Bei weniger als 48 Messungen wird 0 bereits vorgewählt.
Bevorzugter Anwendungsbereich:
Kläranlagen mit großen Einzugsgebieten und schwer überschaubaren Fließverhältnissen.
</t>
        </r>
      </text>
    </comment>
    <comment ref="M17" authorId="0" shapeId="0">
      <text>
        <r>
          <rPr>
            <b/>
            <sz val="10"/>
            <color indexed="81"/>
            <rFont val="Tahoma"/>
            <family val="2"/>
          </rPr>
          <t xml:space="preserve">
Wenn das Ergebnis nicht gewertet werden soll, ist   0   einzutragen.
Bei weniger als 48 Messungen wird 0 bereits vorgewählt.
Bevorzugter Anwendungsbereich:
exfiltrierendes Kanalsystem
</t>
        </r>
      </text>
    </comment>
    <comment ref="M18" authorId="0" shapeId="0">
      <text>
        <r>
          <rPr>
            <b/>
            <sz val="10"/>
            <color indexed="81"/>
            <rFont val="Tahoma"/>
            <family val="2"/>
          </rPr>
          <t xml:space="preserve">
Wenn das Ergebnis nicht gewertet werden soll, ist   0   einzutragen.
(z.B. bei zu geringer Datenmenge)
Bei weniger als 48 Messwerten wird 0 bereits vorgegeben.
</t>
        </r>
      </text>
    </comment>
    <comment ref="M19" authorId="0" shapeId="0">
      <text>
        <r>
          <rPr>
            <b/>
            <sz val="10"/>
            <color indexed="81"/>
            <rFont val="Tahoma"/>
            <family val="2"/>
          </rPr>
          <t xml:space="preserve">
Wenn das Ergebnis nicht gewertet werden soll,  0   eintragen.
(z.B. bei zu geringer Datenmenge)
Bei weniger als 48 Messdaten ist 0 bereits vorgegeben.
</t>
        </r>
      </text>
    </comment>
    <comment ref="M20" authorId="0" shapeId="0">
      <text>
        <r>
          <rPr>
            <b/>
            <sz val="10"/>
            <color indexed="81"/>
            <rFont val="Tahoma"/>
            <family val="2"/>
          </rPr>
          <t xml:space="preserve">
Wenn das Ergebnis gewertet werden soll, ist   1   einzutragen
Dieses Verfahren kommt immer dann zum Einsatz, wenn andere Verfahen nicht anwendbar sind. Es ist die Eingabe des Wasserverbrauches und des Fremdwassers in den betreffenden Feldern unbedingt erforderlich.</t>
        </r>
      </text>
    </comment>
    <comment ref="M21" authorId="0" shapeId="0">
      <text>
        <r>
          <rPr>
            <b/>
            <sz val="8"/>
            <color indexed="81"/>
            <rFont val="Tahoma"/>
            <family val="2"/>
          </rPr>
          <t xml:space="preserve">1 nur bei vollständigem Trennsystem </t>
        </r>
      </text>
    </comment>
    <comment ref="H32" authorId="0" shapeId="0">
      <text>
        <r>
          <rPr>
            <sz val="9"/>
            <color indexed="81"/>
            <rFont val="Tahoma"/>
            <family val="2"/>
          </rPr>
          <t xml:space="preserve">
Eingabe des Gesamtergebnisses der Bewertung. Zur Orientierung ist ein Mittel der zu berücksichtigenden Ergebnisse voreingestellt. 
(Es kann auch ein gewichtetes Mittel unter Einsatz von Wichtungsfaktoren gebildet werden oder eine freie Eingabe erfolgen.)
Insbesondere bei reinen Trennsystemen ist zu prüfen, ob der um die Veluste reduzuierte Trinkwasserverbrauch maßgeblich wird.</t>
        </r>
      </text>
    </comment>
    <comment ref="C35" authorId="0" shapeId="0">
      <text>
        <r>
          <rPr>
            <sz val="8"/>
            <color indexed="81"/>
            <rFont val="Tahoma"/>
            <family val="2"/>
          </rPr>
          <t xml:space="preserve">
Rundungsbeeinflussung
durch Zu- oder Abgabe von Dezimalstellen.
Erfolgt jetzt automatisch.</t>
        </r>
      </text>
    </comment>
    <comment ref="F46" authorId="0" shapeId="0">
      <text>
        <r>
          <rPr>
            <b/>
            <sz val="8"/>
            <color indexed="81"/>
            <rFont val="Tahoma"/>
            <family val="2"/>
          </rPr>
          <t>Eintrag nur auf dem
 letzten Blatt einer Fünfjahresüberprüfung</t>
        </r>
      </text>
    </comment>
    <comment ref="G46" authorId="0" shapeId="0">
      <text>
        <r>
          <rPr>
            <b/>
            <sz val="8"/>
            <color indexed="81"/>
            <rFont val="Tahoma"/>
            <family val="2"/>
          </rPr>
          <t>Eintrag nur auf dem
 letzten Blatt einer Fünfjahresüberprüfung</t>
        </r>
      </text>
    </comment>
    <comment ref="H46" authorId="0" shapeId="0">
      <text>
        <r>
          <rPr>
            <b/>
            <sz val="8"/>
            <color indexed="81"/>
            <rFont val="Tahoma"/>
            <family val="2"/>
          </rPr>
          <t>Eintrag nur auf dem
 letzten Blatt einer Fünfjahresüberprüfung</t>
        </r>
      </text>
    </comment>
    <comment ref="I46" authorId="0" shapeId="0">
      <text>
        <r>
          <rPr>
            <b/>
            <sz val="8"/>
            <color indexed="81"/>
            <rFont val="Tahoma"/>
            <family val="2"/>
          </rPr>
          <t>Eintrag nur auf dem
 letzten Blatt einer Fünfjahresüberprüfung</t>
        </r>
      </text>
    </comment>
    <comment ref="J47" authorId="1" shapeId="0">
      <text>
        <r>
          <rPr>
            <b/>
            <sz val="8"/>
            <color indexed="81"/>
            <rFont val="Tahoma"/>
            <family val="2"/>
          </rPr>
          <t>walgenbach:</t>
        </r>
        <r>
          <rPr>
            <sz val="8"/>
            <color indexed="81"/>
            <rFont val="Tahoma"/>
            <family val="2"/>
          </rPr>
          <t xml:space="preserve">
Plausibilität mit Ew bzw. EGW prüfen
(Blatt JSM Eingabe+TW)</t>
        </r>
      </text>
    </comment>
    <comment ref="M71" authorId="0" shapeId="0">
      <text>
        <r>
          <rPr>
            <b/>
            <sz val="8"/>
            <color indexed="81"/>
            <rFont val="Tahoma"/>
            <family val="2"/>
          </rPr>
          <t xml:space="preserve">Diese Wertung wird im Endergebnis berücksichtigt!
</t>
        </r>
      </text>
    </comment>
    <comment ref="M72" authorId="0" shapeId="0">
      <text>
        <r>
          <rPr>
            <b/>
            <sz val="8"/>
            <color indexed="81"/>
            <rFont val="Tahoma"/>
            <family val="2"/>
          </rPr>
          <t>Diese Wertung wird im Endergebnis berücksichtigt!</t>
        </r>
      </text>
    </comment>
    <comment ref="H97" authorId="0" shapeId="0">
      <text>
        <r>
          <rPr>
            <b/>
            <sz val="8"/>
            <color indexed="81"/>
            <rFont val="Tahoma"/>
            <family val="2"/>
          </rPr>
          <t xml:space="preserve">in der Regel 120 g/(E*d)
</t>
        </r>
      </text>
    </comment>
    <comment ref="J98" authorId="0" shapeId="0">
      <text>
        <r>
          <rPr>
            <b/>
            <sz val="8"/>
            <color indexed="81"/>
            <rFont val="Tahoma"/>
            <family val="2"/>
          </rPr>
          <t>z.B.  zu wählen, wenn nachts ein nicht unerheblicher Anteil an gewerblich- industriellem Abwasser vorliegt</t>
        </r>
        <r>
          <rPr>
            <sz val="8"/>
            <color indexed="81"/>
            <rFont val="Tahoma"/>
            <family val="2"/>
          </rPr>
          <t xml:space="preserve">
</t>
        </r>
      </text>
    </comment>
    <comment ref="I103" authorId="0" shapeId="0">
      <text>
        <r>
          <rPr>
            <b/>
            <sz val="8"/>
            <color indexed="81"/>
            <rFont val="Tahoma"/>
            <family val="2"/>
          </rPr>
          <t>775 in Baden-Württemberg</t>
        </r>
      </text>
    </comment>
    <comment ref="I106" authorId="0" shapeId="0">
      <text>
        <r>
          <rPr>
            <b/>
            <sz val="8"/>
            <color indexed="81"/>
            <rFont val="Tahoma"/>
            <family val="2"/>
          </rPr>
          <t>Achtung: 
Die Daten in KOS enthalten auch RW.  Daher hilfsweise Mittel aus monatlichen Maximalwerten verwenden.</t>
        </r>
      </text>
    </comment>
  </commentList>
</comments>
</file>

<file path=xl/sharedStrings.xml><?xml version="1.0" encoding="utf-8"?>
<sst xmlns="http://schemas.openxmlformats.org/spreadsheetml/2006/main" count="682" uniqueCount="386">
  <si>
    <t>Jahr</t>
  </si>
  <si>
    <t>Tag</t>
  </si>
  <si>
    <t>JSM</t>
  </si>
  <si>
    <t xml:space="preserve"> </t>
  </si>
  <si>
    <t>Klassenmittel</t>
  </si>
  <si>
    <t xml:space="preserve">von </t>
  </si>
  <si>
    <t>bis</t>
  </si>
  <si>
    <t>Rang</t>
  </si>
  <si>
    <t>zug. Klassenmittel</t>
  </si>
  <si>
    <t>Klasse</t>
  </si>
  <si>
    <t>Summen</t>
  </si>
  <si>
    <t>Tagesabflußmengen in cbm/d</t>
  </si>
  <si>
    <t>Januar</t>
  </si>
  <si>
    <t>Februar</t>
  </si>
  <si>
    <t>März</t>
  </si>
  <si>
    <t>April</t>
  </si>
  <si>
    <t>Mai</t>
  </si>
  <si>
    <t>Juni</t>
  </si>
  <si>
    <t>Juli</t>
  </si>
  <si>
    <t>August</t>
  </si>
  <si>
    <t>September</t>
  </si>
  <si>
    <t>Oktober</t>
  </si>
  <si>
    <t>November</t>
  </si>
  <si>
    <t>Dezember</t>
  </si>
  <si>
    <t>auswertbare Jahrestage:</t>
  </si>
  <si>
    <t>abzurechnende Tage:</t>
  </si>
  <si>
    <t>Größtwert:</t>
  </si>
  <si>
    <t>Kleinstwert:</t>
  </si>
  <si>
    <t>Klassenbreite:</t>
  </si>
  <si>
    <t>erforderliche Anzahl der Klassen:</t>
  </si>
  <si>
    <t>gewählte Klassenbreite:</t>
  </si>
  <si>
    <t>Klassenanzahl</t>
  </si>
  <si>
    <t>mittleres Frischwasser</t>
  </si>
  <si>
    <t>d</t>
  </si>
  <si>
    <t>E</t>
  </si>
  <si>
    <t>Abwasser-menge</t>
  </si>
  <si>
    <t>Kleinstwert</t>
  </si>
  <si>
    <t>Größtwert</t>
  </si>
  <si>
    <t>Messungen wurden berücksichtigt</t>
  </si>
  <si>
    <t>Menge</t>
  </si>
  <si>
    <t>Summe</t>
  </si>
  <si>
    <t xml:space="preserve"> im Jahr</t>
  </si>
  <si>
    <r>
      <t>m</t>
    </r>
    <r>
      <rPr>
        <vertAlign val="superscript"/>
        <sz val="10"/>
        <rFont val="Arial"/>
        <family val="2"/>
      </rPr>
      <t>3</t>
    </r>
    <r>
      <rPr>
        <sz val="10"/>
        <rFont val="Arial"/>
        <family val="2"/>
      </rPr>
      <t>/a</t>
    </r>
  </si>
  <si>
    <t>A</t>
  </si>
  <si>
    <t>B</t>
  </si>
  <si>
    <t>C</t>
  </si>
  <si>
    <t>D</t>
  </si>
  <si>
    <t>F</t>
  </si>
  <si>
    <t>G</t>
  </si>
  <si>
    <t>H</t>
  </si>
  <si>
    <t>Fremdwasseranteil  100 * E / F</t>
  </si>
  <si>
    <t>Datum der Fremdwasserbestimmung</t>
  </si>
  <si>
    <t>Die Ermittlung erfolgt bei Trockenwetter anhand des geringsten Durchflusses (z.B. Nachtmessungen gegen 3 Uhr) und Messungen des Tageswasserabflusses über 24 Stunden (Zählwerksablesung).</t>
  </si>
  <si>
    <t>Gleichförmiges Kanalnetz ohne Einrichtungen , die zu einer deutlichen Verlängerung der tatsächlichen Fließzeiten bei TW führen</t>
  </si>
  <si>
    <t>Großes Kanalnetz oder Fließzeiten bei TW von mehr als 10 Std.</t>
  </si>
  <si>
    <t>Jahresdauerlinie</t>
  </si>
  <si>
    <t>wird q =</t>
  </si>
  <si>
    <t>Errechneter mittlerer Abfluß bei TW</t>
  </si>
  <si>
    <t>%</t>
  </si>
  <si>
    <t>Bemerkung:</t>
  </si>
  <si>
    <t>Bemerkungen:</t>
  </si>
  <si>
    <t xml:space="preserve">Messungen:    </t>
  </si>
  <si>
    <t>Mittlerer Fremdwasseranteil aus</t>
  </si>
  <si>
    <r>
      <t xml:space="preserve">q  </t>
    </r>
    <r>
      <rPr>
        <vertAlign val="subscript"/>
        <sz val="9"/>
        <rFont val="Arial"/>
        <family val="2"/>
      </rPr>
      <t>gewählt</t>
    </r>
    <r>
      <rPr>
        <sz val="9"/>
        <rFont val="Arial"/>
        <family val="2"/>
      </rPr>
      <t xml:space="preserve"> = </t>
    </r>
  </si>
  <si>
    <t>cbm bei Wetter 1-2</t>
  </si>
  <si>
    <t xml:space="preserve">Jan </t>
  </si>
  <si>
    <t>Feb</t>
  </si>
  <si>
    <t>Mrz</t>
  </si>
  <si>
    <t>Apr</t>
  </si>
  <si>
    <t>Jun</t>
  </si>
  <si>
    <t>Jul</t>
  </si>
  <si>
    <t>Aug</t>
  </si>
  <si>
    <t>Sep</t>
  </si>
  <si>
    <t>Okt</t>
  </si>
  <si>
    <t>Nov</t>
  </si>
  <si>
    <t>Dez</t>
  </si>
  <si>
    <t xml:space="preserve"> - bei 2 Spitzen:</t>
  </si>
  <si>
    <t xml:space="preserve"> - bei 3 Spitzen:</t>
  </si>
  <si>
    <t>Tagesfremdwasserzufluss D * 86,4      [m³/d]</t>
  </si>
  <si>
    <t>gemessener geringster Nachtzufluss   [ l/s  ]</t>
  </si>
  <si>
    <t>Qf = gleit. Minimum - mittl. Frischwasser</t>
  </si>
  <si>
    <t>Unterschneiden wird unterdrückt</t>
  </si>
  <si>
    <t>Unterschneiden wird nicht unterdrückt</t>
  </si>
  <si>
    <t>m³/a</t>
  </si>
  <si>
    <t xml:space="preserve">W </t>
  </si>
  <si>
    <t xml:space="preserve">  Jahresschmutzwassermenge nach Wetterschlüssel über die Monatssummen</t>
  </si>
  <si>
    <t>Jahressummen</t>
  </si>
  <si>
    <t>Hälfte der Anzahl der TW-Tage</t>
  </si>
  <si>
    <t>(bis zur gelben Linie)</t>
  </si>
  <si>
    <t>Jahresschmutzwassermenge</t>
  </si>
  <si>
    <t xml:space="preserve">Jahresschmutzwassermenge für das Jahr </t>
  </si>
  <si>
    <t>Eingangswert:</t>
  </si>
  <si>
    <t>zweitgrößte Klassenanzahl</t>
  </si>
  <si>
    <t>x</t>
  </si>
  <si>
    <t>(Normalfall)</t>
  </si>
  <si>
    <t>Nicht nach Wetterschlüssel über die Jahressummen !</t>
  </si>
  <si>
    <t>Aktuell angeschlossene Einwohner EZ:</t>
  </si>
  <si>
    <t>cbm /a</t>
  </si>
  <si>
    <t>Dichtemittel</t>
  </si>
  <si>
    <t>cbm/a  nach Angabe der VG / Stadt</t>
  </si>
  <si>
    <t>bei  EZ</t>
  </si>
  <si>
    <t>&lt; 5.000 E</t>
  </si>
  <si>
    <t>5.000 - 100.000 E</t>
  </si>
  <si>
    <t>&gt; 100.000 E</t>
  </si>
  <si>
    <t>Reduzierter Frischwasserverbrauch</t>
  </si>
  <si>
    <t>für Jahresdauerlinie</t>
  </si>
  <si>
    <t>für gleitendes Minimum</t>
  </si>
  <si>
    <t>Mittelwert</t>
  </si>
  <si>
    <t>Trockenwetter ist bei einer Niederschlagshöhe von weniger oder gleich 1,0 mm/d und weniger oder gleich 1,0 mm/d am Vortag</t>
  </si>
  <si>
    <t>Messtage</t>
  </si>
  <si>
    <t>cbm an TW-Tagen</t>
  </si>
  <si>
    <t xml:space="preserve">  ---</t>
  </si>
  <si>
    <t>Tagesmessungen bei Hochwasser und fehlende Messungen werden durch Erstatzwert ersetzt.</t>
  </si>
  <si>
    <t>In dieser Tabelle wird bei HW und fehlenden Messungen ein plausibler Ersatzwert eingefügt</t>
  </si>
  <si>
    <t xml:space="preserve"> 1)</t>
  </si>
  <si>
    <t xml:space="preserve"> 2)</t>
  </si>
  <si>
    <t>Fremdwasser im Gesamtablauf</t>
  </si>
  <si>
    <t>Ergebnis der Bewertung:</t>
  </si>
  <si>
    <t>Wetterschlüssel</t>
  </si>
  <si>
    <t>mal Erstatzwert eingefügt</t>
  </si>
  <si>
    <t>Bemerkung</t>
  </si>
  <si>
    <t>Tagesmengen ohne Hochwasser und Ersatzwerte</t>
  </si>
  <si>
    <t>Für Dichtemittel. Nicht gemessene Tage bleiben unberücksichtigt. Messungen bei HW werden berücksichtigt.</t>
  </si>
  <si>
    <t>um die Verluste reduziert</t>
  </si>
  <si>
    <t>kommunales Netz einschl. Eigenwasserversorgungen</t>
  </si>
  <si>
    <t>automatisch</t>
  </si>
  <si>
    <t>Trockenwetter</t>
  </si>
  <si>
    <t>e</t>
  </si>
  <si>
    <t>f</t>
  </si>
  <si>
    <t>g</t>
  </si>
  <si>
    <t>Gesamtmittelwert</t>
  </si>
  <si>
    <t>mittlerer Tageswert des Jahres :</t>
  </si>
  <si>
    <t>größtes TW:</t>
  </si>
  <si>
    <t>mittleres TW:</t>
  </si>
  <si>
    <t>Mittelwert:</t>
  </si>
  <si>
    <t>Erstatzwert für insgesamt</t>
  </si>
  <si>
    <t>Hierbei werden Fehltage mit W = 8 (=Hochwassser) geführt</t>
  </si>
  <si>
    <t>Erhöhung um 20%</t>
  </si>
  <si>
    <t xml:space="preserve">gleitendes Minimum   </t>
  </si>
  <si>
    <t>Schwankungsbreite nach A 198</t>
  </si>
  <si>
    <t>Abwassermenge</t>
  </si>
  <si>
    <t>gem. A 198</t>
  </si>
  <si>
    <t>Jahresganglinie</t>
  </si>
  <si>
    <t>Die Fläche unter dem mittleren Frischwasser ist der angegebene Wasserverbrauch im Einzugsgebiet der KA</t>
  </si>
  <si>
    <t>Die Fläche zwischen dem gleitenden Minimum und dem mittleren Frischwasser ist Fremdwasser</t>
  </si>
  <si>
    <t>Qt,d</t>
  </si>
  <si>
    <t>mittleres Trockenwetter der Trockenwetterauswertung :</t>
  </si>
  <si>
    <t>Fremdwasser nach gleitendem Minimum</t>
  </si>
  <si>
    <r>
      <t>Mittelwert</t>
    </r>
    <r>
      <rPr>
        <sz val="8"/>
        <rFont val="Arial"/>
        <family val="2"/>
      </rPr>
      <t xml:space="preserve"> (alle Daten ohne Hochwasser) :</t>
    </r>
  </si>
  <si>
    <t>l/s</t>
  </si>
  <si>
    <t xml:space="preserve">  =Anzahl der zu berücksichtigenden Messungen nach A 198</t>
  </si>
  <si>
    <t xml:space="preserve">  = JSM nach A 198: alle gemessenen Werte, die gleich oder unterhalb des um 20 % erhöhten gleitenden Minimum- Polygon liegen.</t>
  </si>
  <si>
    <t>(rote Linie)</t>
  </si>
  <si>
    <t>JSM gem. A 198</t>
  </si>
  <si>
    <t>n=</t>
  </si>
  <si>
    <t>Wichtung</t>
  </si>
  <si>
    <t xml:space="preserve"> %</t>
  </si>
  <si>
    <t>Hilfswert:</t>
  </si>
  <si>
    <r>
      <t>max. mögl. Tagesmenge Q</t>
    </r>
    <r>
      <rPr>
        <vertAlign val="subscript"/>
        <sz val="8"/>
        <color indexed="9"/>
        <rFont val="Arial"/>
        <family val="2"/>
      </rPr>
      <t>m, d</t>
    </r>
  </si>
  <si>
    <t xml:space="preserve">Dieses Programm wurde durch den Fachbereich "Abwasserwesen, Gewässergüte" der Regionalstelle Wasserwirtschaft Abfallwirtschaft Bodenschutz bei der SGD Nord in Koblenz erstellt und wird als Hilfsmittel für die Ermittlung der JSM zur Verfügung gestellt. Es entbindet nicht von der fachkundigen Ausarbeitung und der Eigenverantwortung für die übermittelten Ergebnisse. Für die Richtigkeit des Programms wird keine Gewähr übernommen. Der Anwender erkennt durch Anwendung des Programms den Haftungsausschluss der SGD für die Folgen der Anwendung sowie für eventuell entstehende Schäden, auch an Hard- oder Software, ausdrücklich an. </t>
  </si>
  <si>
    <t xml:space="preserve">  Bei Hochwasser und fehlender Tagesmessung wird für die Dauerlinie und das gleitendes Minimum folgender Ersatzwert eingesetzt: </t>
  </si>
  <si>
    <t>Blatt 1</t>
  </si>
  <si>
    <t>Blatt 2</t>
  </si>
  <si>
    <t>Blatt 5</t>
  </si>
  <si>
    <t>Blatt 6</t>
  </si>
  <si>
    <t>Wasserverbrauch und Fremdwasser</t>
  </si>
  <si>
    <t>gleitendes Minimum</t>
  </si>
  <si>
    <t xml:space="preserve"> Abschätzung des Fremdwasseranteils über das arithmetische Mittel der CSB- Messwerte bei TW im Zulauf der KA</t>
  </si>
  <si>
    <t>Dieses Verfahren insbesondere dann anwenden, wenn keine automatische Durchflussmengenmesseinrichtung vorhanden ist.</t>
  </si>
  <si>
    <t>1. Ermittlung der CSB- Konzentration</t>
  </si>
  <si>
    <t xml:space="preserve"> -</t>
  </si>
  <si>
    <t>nach theoretischem Ansatz:</t>
  </si>
  <si>
    <t>CSB- Konzentration im Rohabwasser</t>
  </si>
  <si>
    <t>=</t>
  </si>
  <si>
    <t>g/(E*d)</t>
  </si>
  <si>
    <t>Wasserverbrauch je EZ / EW</t>
  </si>
  <si>
    <t>l/(E*d)</t>
  </si>
  <si>
    <t>Nebenrechnung:</t>
  </si>
  <si>
    <t>CSB- Konzentration mit 0 % Fremdwasser</t>
  </si>
  <si>
    <t>mg/l</t>
  </si>
  <si>
    <t>monatliche Maximalwerte gem. KOS</t>
  </si>
  <si>
    <t>Nach dem "Leitfaden Abwasserabgabe" der Landesanstalt für Umweltschutz Baden-Württemberg liegt ein Fremdwasser-anteil von 0 % vor bei einer CSB- Konzentration von</t>
  </si>
  <si>
    <t>nach tatsächlicher Belastung:</t>
  </si>
  <si>
    <t>(EZ)</t>
  </si>
  <si>
    <t>(EW)</t>
  </si>
  <si>
    <t>Wasserverbrauch je EZ / EW  und Jahr</t>
  </si>
  <si>
    <t xml:space="preserve">cbm/(E*a)  </t>
  </si>
  <si>
    <t xml:space="preserve">cbm/(E*a)   </t>
  </si>
  <si>
    <t>Wasserverbrauch je EZ / EW im Jahresmittel</t>
  </si>
  <si>
    <t>CSB- Konzentration im Rohabwasser im Jahresmittel</t>
  </si>
  <si>
    <t>CSB- Konzentration bei 0 % Fremdwasser</t>
  </si>
  <si>
    <r>
      <t>mittl. max C</t>
    </r>
    <r>
      <rPr>
        <i/>
        <vertAlign val="subscript"/>
        <sz val="8"/>
        <rFont val="Arial"/>
        <family val="2"/>
      </rPr>
      <t>CSB</t>
    </r>
  </si>
  <si>
    <t>2. Abschätzung des Fremdwasseranteils und der JSM:</t>
  </si>
  <si>
    <t>gewählte CSB- Konzentration mit 0 % Fremdwasser</t>
  </si>
  <si>
    <t>mittlerer CSB im Zulauf  bei TW</t>
  </si>
  <si>
    <t xml:space="preserve">Fremdwasseranteil </t>
  </si>
  <si>
    <t>cbm</t>
  </si>
  <si>
    <t>Fremdwasser</t>
  </si>
  <si>
    <t>Indizien für einen erhöhten Fremdwasseranfall über 50 % sind</t>
  </si>
  <si>
    <t>CSB &lt; 385 mg/l</t>
  </si>
  <si>
    <t>TNb &lt; 38 mg/l</t>
  </si>
  <si>
    <t xml:space="preserve">JSM nach geltendem Bescheid :  </t>
  </si>
  <si>
    <t>Kommentar:</t>
  </si>
  <si>
    <t>Wetterschlüssel ü. Monatssummen</t>
  </si>
  <si>
    <t>Beide Zeilen markieren und aufziehen</t>
  </si>
  <si>
    <t>weitere Vergleichsberechnungen:</t>
  </si>
  <si>
    <t>.</t>
  </si>
  <si>
    <t>INFO</t>
  </si>
  <si>
    <t>Quelle: LU Baden-Württemberg, Heft "Fremdwasser in kommunalen Kläranlagen" August 2006</t>
  </si>
  <si>
    <t xml:space="preserve">  Kommentar</t>
  </si>
  <si>
    <t>CSB im Zulauf (siehe das Folgende)</t>
  </si>
  <si>
    <t>Diese Wertungen werden im Endergebnis berücksichtigt,</t>
  </si>
  <si>
    <t>sobald hier eine Zahl außer der 0 eingegeben wird.</t>
  </si>
  <si>
    <t>m³/d</t>
  </si>
  <si>
    <t>Trinkwasserverbrauch:</t>
  </si>
  <si>
    <t>kleinstes TW:</t>
  </si>
  <si>
    <t>(blau strichliert)</t>
  </si>
  <si>
    <t>Qf =</t>
  </si>
  <si>
    <t>gleitendes Minimum =</t>
  </si>
  <si>
    <t>gleitendes Minimum gem. ATV-DVWK A 198 =</t>
  </si>
  <si>
    <t xml:space="preserve">Ausfall-/ HW-Tage: </t>
  </si>
  <si>
    <t>ERGEBNIS:</t>
  </si>
  <si>
    <t>Maximalwert der Klassenanzahl</t>
  </si>
  <si>
    <t>(X = zutreffend)</t>
  </si>
  <si>
    <t>Autoren: Heidi Jung, Thomas Müller und Heinz-Peter Walgenbach, SGD Nord</t>
  </si>
  <si>
    <t>Angabe des Maßnahmeträgers</t>
  </si>
  <si>
    <t xml:space="preserve">  Hilfsweise das Mittel aus monatlichen Mittel- oder Maximalwerten gem. KOS</t>
  </si>
  <si>
    <t>Berichtsjahr :</t>
  </si>
  <si>
    <t>Kläranlage :</t>
  </si>
  <si>
    <t>Eingabedaten</t>
  </si>
  <si>
    <t xml:space="preserve">gemessen wurde </t>
  </si>
  <si>
    <t>JSM nach dem Dichtemittel</t>
  </si>
  <si>
    <t>JSM über die Jahresdauerlinie</t>
  </si>
  <si>
    <t>Anzahl der TW-Tage nach Betriebstagebuch</t>
  </si>
  <si>
    <t>ausgewertete Betriebsdaten:</t>
  </si>
  <si>
    <t>mittlerer Tageswert des Jahres</t>
  </si>
  <si>
    <t>Mittelwert (ohne Hochwasser)</t>
  </si>
  <si>
    <t>Anzahl fehlender Einträge / Hochwassertage</t>
  </si>
  <si>
    <t>Auswertung der Jahresdauerlinie:</t>
  </si>
  <si>
    <t>Blatt 3</t>
  </si>
  <si>
    <r>
      <t xml:space="preserve">Achtung: wenn in der Spitze die gleiche Klassenanzahl zweimal auftritt, wird die JSM fälschlich doppelt so hoch angegeben.                                                                         </t>
    </r>
    <r>
      <rPr>
        <b/>
        <i/>
        <sz val="10"/>
        <color indexed="14"/>
        <rFont val="Arial"/>
        <family val="2"/>
      </rPr>
      <t>In diesem Fall die Klassenbreite leicht verändern</t>
    </r>
    <r>
      <rPr>
        <i/>
        <sz val="10"/>
        <color indexed="14"/>
        <rFont val="Arial"/>
        <family val="2"/>
      </rPr>
      <t>.</t>
    </r>
  </si>
  <si>
    <t>Blatt 4</t>
  </si>
  <si>
    <t>VG / Stadt:</t>
  </si>
  <si>
    <t xml:space="preserve">VG / Stadt:  </t>
  </si>
  <si>
    <t>JSM über das gleitende Minimum in Anlehnung an ATV-DVWK-A 198</t>
  </si>
  <si>
    <t>reduzierter Trinkwasserverbrauch:</t>
  </si>
  <si>
    <t>größtes Trockenwetter (TW):</t>
  </si>
  <si>
    <t>JSM nach den Verfahren:</t>
  </si>
  <si>
    <t>EÜ-Berichte:</t>
  </si>
  <si>
    <t>http://www3.chamaeleon.de/klaeranlagen/klaeranlagen.phtml</t>
  </si>
  <si>
    <t>Kennwort:</t>
  </si>
  <si>
    <t>mufko</t>
  </si>
  <si>
    <t>Passwort</t>
  </si>
  <si>
    <t>k1o2m36</t>
  </si>
  <si>
    <t>Anzahl TW- Tage</t>
  </si>
  <si>
    <t>monatl. Gesamt-TW</t>
  </si>
  <si>
    <t>TW aller gemess. Tg.</t>
  </si>
  <si>
    <t>TW / d</t>
  </si>
  <si>
    <t>TW / Mon</t>
  </si>
  <si>
    <t>Gesamt der TW-Tage</t>
  </si>
  <si>
    <t>max. Tages-TW</t>
  </si>
  <si>
    <t>Jahressummen:</t>
  </si>
  <si>
    <t>Oberer Meßbereich des Gerätes bis:</t>
  </si>
  <si>
    <t>geschätzte längste Fließzeit:</t>
  </si>
  <si>
    <t>Durchflußmeßeinrichtung (Meßverfahren):</t>
  </si>
  <si>
    <t>ha</t>
  </si>
  <si>
    <t>h</t>
  </si>
  <si>
    <t>Meßanlage letztmalig überprüft am:</t>
  </si>
  <si>
    <t>Kanal- Einzugsgebiet AE:</t>
  </si>
  <si>
    <t>m³/h</t>
  </si>
  <si>
    <t>Angabe Massnahmeträger:</t>
  </si>
  <si>
    <t>über Fremdwassermessungen:</t>
  </si>
  <si>
    <t>über den Zulauf- CSB:</t>
  </si>
  <si>
    <t>Fremdwasseranteil über Jahresmittel der CSB- TW- Konzentration:</t>
  </si>
  <si>
    <t>Q</t>
  </si>
  <si>
    <t>angeschlossene EZ:</t>
  </si>
  <si>
    <t>Trinkwasserverbrauch kommunales Netz:</t>
  </si>
  <si>
    <t>Abzug für Verluste ( i.d.R. 5 - 10 %):</t>
  </si>
  <si>
    <t>Trinkwasserverbrauch Eigenwasserversorgungsanlagen:</t>
  </si>
  <si>
    <t>Abzug für Verluste aus Eigenversorgungen:</t>
  </si>
  <si>
    <t>Trinkwasserverbrauch gesamt:</t>
  </si>
  <si>
    <t>Reduzierter Trinkwasserverbrauch:</t>
  </si>
  <si>
    <t>INFO- Feld mit dem Mauszeiger anfahren</t>
  </si>
  <si>
    <t>CSB-Trockenwetterzulaufkonzentration im Jahresmittel:</t>
  </si>
  <si>
    <t xml:space="preserve">  mg/l</t>
  </si>
  <si>
    <t>mittlerer Trinkwasserverbrauch :</t>
  </si>
  <si>
    <t>gemessener Kleinstwert Abwasser :</t>
  </si>
  <si>
    <t>Dieser Wert kann auf dem Blatt "JSM Jahresdauerlinie" verändert werden</t>
  </si>
  <si>
    <t>INFO- Feld mit dem Maus-zeiger anfahren</t>
  </si>
  <si>
    <t xml:space="preserve">cbm/d       </t>
  </si>
  <si>
    <t>CSB- Fracht im Rohabwasser im Jahresmittel</t>
  </si>
  <si>
    <t>Summe der Wichtungspunkte:</t>
  </si>
  <si>
    <t>Bemerkungen</t>
  </si>
  <si>
    <t>JSM überTW nach Jahresmittel</t>
  </si>
  <si>
    <t>Anzahl der Messwerte:</t>
  </si>
  <si>
    <t>gleitendes Minimum A 198</t>
  </si>
  <si>
    <t>Anzahl der Trockenwettertage</t>
  </si>
  <si>
    <t>Für weitere Kontrollberechungen die Zeilen 62-115  markieren und aufziehen (oder Doppelklick)</t>
  </si>
  <si>
    <t>drittgößte Klassenanzahl</t>
  </si>
  <si>
    <t>Zusammenfassung der Berechnungsergebnisse</t>
  </si>
  <si>
    <t>Rundung:</t>
  </si>
  <si>
    <t xml:space="preserve">im Zulauf </t>
  </si>
  <si>
    <t>oder im Ablauf</t>
  </si>
  <si>
    <t>Wenn mehrere Spitzen zu berücksichtigen sind:</t>
  </si>
  <si>
    <r>
      <t xml:space="preserve">  Bei fehlenden oder fehlerhaften Tagesmessungen leeres Feld oder begründeten Schätzwert, aber bitte  nicht</t>
    </r>
    <r>
      <rPr>
        <b/>
        <sz val="16"/>
        <rFont val="Arial"/>
        <family val="2"/>
      </rPr>
      <t xml:space="preserve"> </t>
    </r>
    <r>
      <rPr>
        <b/>
        <sz val="14"/>
        <rFont val="Arial"/>
        <family val="2"/>
      </rPr>
      <t xml:space="preserve"> 0 </t>
    </r>
    <r>
      <rPr>
        <b/>
        <sz val="12"/>
        <rFont val="Arial"/>
        <family val="2"/>
      </rPr>
      <t xml:space="preserve"> oder andere Informationen eintragen.</t>
    </r>
  </si>
  <si>
    <t>Klassenmittel-Kleinstwert:</t>
  </si>
  <si>
    <t>(von-Wert 1. Klasse)</t>
  </si>
  <si>
    <t>Abzug für geschätzten Nachtzufluss der angeschlossenen Einwohner (Ez)</t>
  </si>
  <si>
    <t>Fremdwassermenge über die Dreiecksmethode</t>
  </si>
  <si>
    <t>mittl. FW</t>
  </si>
  <si>
    <t>TW/RW</t>
  </si>
  <si>
    <t>Abfluss</t>
  </si>
  <si>
    <t>mittl. TW</t>
  </si>
  <si>
    <t>Frischwasser</t>
  </si>
  <si>
    <t>Ermittlung der Jahresschmutzwassermenge (JSM) und des Fremdwassers (QF)</t>
  </si>
  <si>
    <t>Fremdwasserermittlung über Messung</t>
  </si>
  <si>
    <t>(Fremdwasser + Wasserverbr.)</t>
  </si>
  <si>
    <t>Dreiecksmethode</t>
  </si>
  <si>
    <t>Wetterschlüssel (W) und Mischwasser-Tagesabfluss (Q) in m³/d:</t>
  </si>
  <si>
    <t>JSM nach den Trockenwettertagen im Jahresmittel in m³:</t>
  </si>
  <si>
    <r>
      <t xml:space="preserve">m </t>
    </r>
    <r>
      <rPr>
        <vertAlign val="superscript"/>
        <sz val="11"/>
        <rFont val="Arial"/>
        <family val="2"/>
      </rPr>
      <t>3</t>
    </r>
  </si>
  <si>
    <r>
      <t xml:space="preserve">m </t>
    </r>
    <r>
      <rPr>
        <vertAlign val="superscript"/>
        <sz val="10"/>
        <color indexed="8"/>
        <rFont val="Arial"/>
        <family val="2"/>
      </rPr>
      <t>3</t>
    </r>
    <r>
      <rPr>
        <sz val="10"/>
        <color indexed="8"/>
        <rFont val="Arial"/>
        <family val="2"/>
      </rPr>
      <t xml:space="preserve"> </t>
    </r>
  </si>
  <si>
    <r>
      <t xml:space="preserve">m </t>
    </r>
    <r>
      <rPr>
        <vertAlign val="superscript"/>
        <sz val="11"/>
        <rFont val="Arial"/>
        <family val="2"/>
      </rPr>
      <t>3</t>
    </r>
    <r>
      <rPr>
        <sz val="11"/>
        <rFont val="Arial"/>
        <family val="2"/>
      </rPr>
      <t xml:space="preserve"> </t>
    </r>
  </si>
  <si>
    <t>m³</t>
  </si>
  <si>
    <r>
      <t>m</t>
    </r>
    <r>
      <rPr>
        <vertAlign val="superscript"/>
        <sz val="9"/>
        <rFont val="Arial"/>
        <family val="2"/>
      </rPr>
      <t>3</t>
    </r>
  </si>
  <si>
    <t>m³      einschließlich</t>
  </si>
  <si>
    <t xml:space="preserve">   Fremdwasseranteil im kommunalen Netz</t>
  </si>
  <si>
    <t>JSM (m³)</t>
  </si>
  <si>
    <t>JSM (m³/E)</t>
  </si>
  <si>
    <t>monatl. Gesamt</t>
  </si>
  <si>
    <t>X</t>
  </si>
  <si>
    <r>
      <t>Fünfjahresüberprüfung der JSM</t>
    </r>
    <r>
      <rPr>
        <b/>
        <sz val="10"/>
        <rFont val="Arial"/>
        <family val="2"/>
      </rPr>
      <t xml:space="preserve">    </t>
    </r>
    <r>
      <rPr>
        <sz val="10"/>
        <rFont val="Arial"/>
        <family val="2"/>
      </rPr>
      <t>(nur auf dem jeweils letzten Blatt einer Fünfjahresüberprüfung durch die Wasserbehörde auszufüllen)</t>
    </r>
  </si>
  <si>
    <t>(bis zur roten Linie)</t>
  </si>
  <si>
    <t>(dreiecksförmige graue Fläche oberhalb der blauen Fläche des Schmutzwassers)</t>
  </si>
  <si>
    <t>m³ / a  =</t>
  </si>
  <si>
    <t>Fremdwasseranteil der festgestellten JSM</t>
  </si>
  <si>
    <t xml:space="preserve">m³ / a    </t>
  </si>
  <si>
    <t>Schmutzwasser nach Wasserverbrauch (blau getrichelt)</t>
  </si>
  <si>
    <t>Fremdwasserzufluss  A - B - C    [ l/s ]</t>
  </si>
  <si>
    <t>Tagesschmutzwasserabfluss  F - E   [ m³ /d ]</t>
  </si>
  <si>
    <t>Abzug für geschätzten Nachtzufluss der angeschlossenen Einwohner (EZ):      q * EZ / 1000   [ l/s ]</t>
  </si>
  <si>
    <t>gemessener Tagesabwasserzufluss (24 h bei Trockenwetter) einschl. FW    [ m³/d ]</t>
  </si>
  <si>
    <t>Abzug geschätzter Nachtzufluss aus Industrie  [ l/s ]</t>
  </si>
  <si>
    <t xml:space="preserve">zu beantragende / festzusetzende JSM :  </t>
  </si>
  <si>
    <t>ODER alternativ Verlustabzug in cbm:</t>
  </si>
  <si>
    <t>gemessene Gesamtmenge (bei Trennsystem)</t>
  </si>
  <si>
    <r>
      <t>nur reines Trennsystem:</t>
    </r>
    <r>
      <rPr>
        <sz val="14"/>
        <rFont val="Arial"/>
        <family val="2"/>
      </rPr>
      <t xml:space="preserve"> x</t>
    </r>
  </si>
  <si>
    <t>monatl. Gesamt (einschl. Ersatzwerte)</t>
  </si>
  <si>
    <t>Unterer Meßbereich des Gerätes bis:</t>
  </si>
  <si>
    <t>Rot = auffälliger Wert</t>
  </si>
  <si>
    <t>Ergebnisse der Selbstüberwachung</t>
  </si>
  <si>
    <t>Spitzenzufluß bei Trockenwetter nach Wasserrecht Q t, h:</t>
  </si>
  <si>
    <r>
      <t>Spitzenzufluß bei Trockenwetter nach Wasserrecht Q t,</t>
    </r>
    <r>
      <rPr>
        <sz val="12"/>
        <color indexed="8"/>
        <rFont val="Arial"/>
        <family val="2"/>
      </rPr>
      <t xml:space="preserve"> d:</t>
    </r>
  </si>
  <si>
    <r>
      <t xml:space="preserve">zugelassener Abfluss der KA Q </t>
    </r>
    <r>
      <rPr>
        <vertAlign val="subscript"/>
        <sz val="12"/>
        <rFont val="Arial"/>
        <family val="2"/>
      </rPr>
      <t>m:</t>
    </r>
  </si>
  <si>
    <t>Rechnerischer Mindestabfluss der KA Q t min, d:</t>
  </si>
  <si>
    <t>Angeschlossene EZ:</t>
  </si>
  <si>
    <t>Reduzierter Trinkwasserverbrauch (m³/E)</t>
  </si>
  <si>
    <t>Dosierstrategie</t>
  </si>
  <si>
    <t>Fest eingestellte, manuelle Dosierung</t>
  </si>
  <si>
    <t>Biologie</t>
  </si>
  <si>
    <t>Steuerung (frachtabhängig) nach ortho-P-Onlinemessung</t>
  </si>
  <si>
    <t>Messstellen</t>
  </si>
  <si>
    <t>Dosierstellen</t>
  </si>
  <si>
    <t>Zulauf Vorklärung</t>
  </si>
  <si>
    <t>Durchflussproportionale Fällmitteldosierung</t>
  </si>
  <si>
    <t>Zulauf Biologie</t>
  </si>
  <si>
    <t>Automatisch nach Dosierungsprofil (Tagesganglinie)</t>
  </si>
  <si>
    <t>Ablauf Biologie (Belebungsbecken)</t>
  </si>
  <si>
    <t>Ablauf Nachklärung</t>
  </si>
  <si>
    <t>Regelung (frachtabhängig) nach ortho-P-Onlinemessung</t>
  </si>
  <si>
    <t>Zulaufmengenmessung</t>
  </si>
  <si>
    <t>Rücklaufschlamm</t>
  </si>
  <si>
    <t>Steuerung (frachtabhängig) nach ortho-P- und Pges-Onlinemessung</t>
  </si>
  <si>
    <t>Ablaufmengenmessung</t>
  </si>
  <si>
    <t>Verteilerbauwerk Nachklärung</t>
  </si>
  <si>
    <t>Regelung (frachtabhängig) nach ortho-P- und Pges-Onlinemessung</t>
  </si>
  <si>
    <t>Kombinierte Regelung und Steuerung nach ortho-P-Onlinemessung</t>
  </si>
  <si>
    <t>Kombinierte Regelung und Steuerung nach ortho-P , Pges-Onlinemessung</t>
  </si>
  <si>
    <t xml:space="preserve">Der CSB - Mittelwert bei Trockenwetter (Wetterschlüssel 1+2) beträgt ??? mg/l und besteht aus ?? Werten.; </t>
  </si>
  <si>
    <r>
      <t xml:space="preserve">W = Wetterschlüssel : trocken = 1; Frost = 2; Regen = 3; Gewitter = 4; Schneeschmelze = 5; Schneefall = 6; Regennachlauf = 7; Hochwassereinfluss = </t>
    </r>
    <r>
      <rPr>
        <sz val="12"/>
        <color theme="9"/>
        <rFont val="Arial"/>
        <family val="2"/>
      </rPr>
      <t>8</t>
    </r>
  </si>
  <si>
    <t>Programmversion 7.3.9</t>
  </si>
  <si>
    <t>Datum (TT.MM.JJJJ)</t>
  </si>
  <si>
    <t>Q m3/d</t>
  </si>
  <si>
    <t>TAG</t>
  </si>
  <si>
    <t>MONAT</t>
  </si>
  <si>
    <t>Mainz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</si>
</sst>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D_M_-;\-* #,##0.00\ _D_M_-;_-* &quot;-&quot;??\ _D_M_-;_-@_-"/>
    <numFmt numFmtId="165" formatCode="_-* #,##0\ _D_M_-;\-* #,##0\ _D_M_-;_-* &quot;-&quot;??\ _D_M_-;_-@_-"/>
    <numFmt numFmtId="166" formatCode="_-* #,##0.0\ _D_M_-;\-* #,##0.0\ _D_M_-;_-* &quot;-&quot;??\ _D_M_-;_-@_-"/>
    <numFmt numFmtId="167" formatCode="0.0"/>
    <numFmt numFmtId="168" formatCode="0.0%"/>
    <numFmt numFmtId="169" formatCode="#,##0.0"/>
    <numFmt numFmtId="170" formatCode="d/\ mmm/"/>
    <numFmt numFmtId="171" formatCode="_-* #,##0\ _€_-;\-* #,##0\ _€_-;_-* &quot;-&quot;??\ _€_-;_-@_-"/>
    <numFmt numFmtId="172" formatCode="#,##0_ ;\-#,##0\ "/>
    <numFmt numFmtId="173" formatCode="#,##0&quot; m³&quot;"/>
    <numFmt numFmtId="179" formatCode="#,##0.00&quot; m³/d&quot;"/>
  </numFmts>
  <fonts count="142"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i/>
      <sz val="8"/>
      <name val="Arial"/>
      <family val="2"/>
    </font>
    <font>
      <sz val="10"/>
      <name val="Arial"/>
      <family val="2"/>
    </font>
    <font>
      <b/>
      <sz val="10"/>
      <color indexed="8"/>
      <name val="Arial"/>
      <family val="2"/>
    </font>
    <font>
      <b/>
      <sz val="12"/>
      <name val="Arial"/>
      <family val="2"/>
    </font>
    <font>
      <b/>
      <sz val="11"/>
      <name val="Arial"/>
      <family val="2"/>
    </font>
    <font>
      <sz val="10"/>
      <color indexed="8"/>
      <name val="Arial"/>
      <family val="2"/>
    </font>
    <font>
      <sz val="11"/>
      <name val="Arial"/>
      <family val="2"/>
    </font>
    <font>
      <sz val="12"/>
      <name val="Arial"/>
      <family val="2"/>
    </font>
    <font>
      <vertAlign val="superscript"/>
      <sz val="10"/>
      <color indexed="8"/>
      <name val="Arial"/>
      <family val="2"/>
    </font>
    <font>
      <sz val="8"/>
      <color indexed="81"/>
      <name val="Tahoma"/>
      <family val="2"/>
    </font>
    <font>
      <b/>
      <sz val="8"/>
      <color indexed="81"/>
      <name val="Tahoma"/>
      <family val="2"/>
    </font>
    <font>
      <sz val="8"/>
      <name val="Arial"/>
      <family val="2"/>
    </font>
    <font>
      <u/>
      <sz val="10"/>
      <color indexed="12"/>
      <name val="Arial"/>
      <family val="2"/>
    </font>
    <font>
      <vertAlign val="superscript"/>
      <sz val="11"/>
      <name val="Arial"/>
      <family val="2"/>
    </font>
    <font>
      <b/>
      <sz val="16"/>
      <name val="Arial"/>
      <family val="2"/>
    </font>
    <font>
      <b/>
      <u/>
      <sz val="10"/>
      <name val="Arial"/>
      <family val="2"/>
    </font>
    <font>
      <sz val="8"/>
      <color indexed="8"/>
      <name val="Arial"/>
      <family val="2"/>
    </font>
    <font>
      <b/>
      <sz val="10"/>
      <color indexed="10"/>
      <name val="Arial"/>
      <family val="2"/>
    </font>
    <font>
      <sz val="10"/>
      <color indexed="10"/>
      <name val="Arial"/>
      <family val="2"/>
    </font>
    <font>
      <i/>
      <sz val="10"/>
      <name val="Arial"/>
      <family val="2"/>
    </font>
    <font>
      <sz val="9"/>
      <color indexed="8"/>
      <name val="Arial"/>
      <family val="2"/>
    </font>
    <font>
      <b/>
      <sz val="18"/>
      <name val="Arial"/>
      <family val="2"/>
    </font>
    <font>
      <i/>
      <sz val="8"/>
      <color indexed="10"/>
      <name val="Arial"/>
      <family val="2"/>
    </font>
    <font>
      <b/>
      <sz val="11"/>
      <color indexed="8"/>
      <name val="Arial"/>
      <family val="2"/>
    </font>
    <font>
      <vertAlign val="superscript"/>
      <sz val="10"/>
      <name val="Arial"/>
      <family val="2"/>
    </font>
    <font>
      <sz val="9"/>
      <name val="Arial"/>
      <family val="2"/>
    </font>
    <font>
      <i/>
      <sz val="9"/>
      <name val="Arial"/>
      <family val="2"/>
    </font>
    <font>
      <sz val="10"/>
      <color indexed="9"/>
      <name val="Arial"/>
      <family val="2"/>
    </font>
    <font>
      <sz val="8.5"/>
      <name val="Arial"/>
      <family val="2"/>
    </font>
    <font>
      <b/>
      <i/>
      <sz val="10"/>
      <color indexed="14"/>
      <name val="Arial"/>
      <family val="2"/>
    </font>
    <font>
      <i/>
      <sz val="9"/>
      <color indexed="14"/>
      <name val="Arial"/>
      <family val="2"/>
    </font>
    <font>
      <vertAlign val="subscript"/>
      <sz val="9"/>
      <name val="Arial"/>
      <family val="2"/>
    </font>
    <font>
      <sz val="9"/>
      <color indexed="81"/>
      <name val="Tahoma"/>
      <family val="2"/>
    </font>
    <font>
      <sz val="14"/>
      <name val="Arial"/>
      <family val="2"/>
    </font>
    <font>
      <b/>
      <sz val="10"/>
      <color indexed="81"/>
      <name val="Tahoma"/>
      <family val="2"/>
    </font>
    <font>
      <sz val="8"/>
      <color indexed="9"/>
      <name val="Arial"/>
      <family val="2"/>
    </font>
    <font>
      <b/>
      <sz val="9"/>
      <color indexed="9"/>
      <name val="Arial"/>
      <family val="2"/>
    </font>
    <font>
      <b/>
      <sz val="10"/>
      <color indexed="9"/>
      <name val="Arial"/>
      <family val="2"/>
    </font>
    <font>
      <sz val="11"/>
      <color indexed="81"/>
      <name val="Tahoma"/>
      <family val="2"/>
    </font>
    <font>
      <sz val="10"/>
      <color indexed="81"/>
      <name val="Tahoma"/>
      <family val="2"/>
    </font>
    <font>
      <i/>
      <sz val="10"/>
      <color indexed="10"/>
      <name val="Arial"/>
      <family val="2"/>
    </font>
    <font>
      <u/>
      <sz val="11"/>
      <color indexed="12"/>
      <name val="Arial"/>
      <family val="2"/>
    </font>
    <font>
      <sz val="11"/>
      <color indexed="9"/>
      <name val="Arial"/>
      <family val="2"/>
    </font>
    <font>
      <sz val="10"/>
      <color indexed="9"/>
      <name val="Arial"/>
      <family val="2"/>
    </font>
    <font>
      <i/>
      <sz val="8"/>
      <color indexed="9"/>
      <name val="Arial"/>
      <family val="2"/>
    </font>
    <font>
      <sz val="9"/>
      <color indexed="9"/>
      <name val="Arial"/>
      <family val="2"/>
    </font>
    <font>
      <vertAlign val="subscript"/>
      <sz val="8"/>
      <color indexed="9"/>
      <name val="Arial"/>
      <family val="2"/>
    </font>
    <font>
      <i/>
      <sz val="10"/>
      <color indexed="14"/>
      <name val="Arial"/>
      <family val="2"/>
    </font>
    <font>
      <sz val="12"/>
      <color indexed="8"/>
      <name val="Arial"/>
      <family val="2"/>
    </font>
    <font>
      <b/>
      <sz val="14"/>
      <color indexed="81"/>
      <name val="Tahoma"/>
      <family val="2"/>
    </font>
    <font>
      <i/>
      <vertAlign val="subscript"/>
      <sz val="8"/>
      <name val="Arial"/>
      <family val="2"/>
    </font>
    <font>
      <sz val="10"/>
      <color indexed="41"/>
      <name val="Arial"/>
      <family val="2"/>
    </font>
    <font>
      <b/>
      <i/>
      <sz val="9"/>
      <name val="Arial"/>
      <family val="2"/>
    </font>
    <font>
      <sz val="10"/>
      <color indexed="42"/>
      <name val="Arial"/>
      <family val="2"/>
    </font>
    <font>
      <sz val="10"/>
      <color indexed="52"/>
      <name val="Arial"/>
      <family val="2"/>
    </font>
    <font>
      <sz val="4"/>
      <color indexed="52"/>
      <name val="Arial"/>
      <family val="2"/>
    </font>
    <font>
      <sz val="14"/>
      <color indexed="81"/>
      <name val="Tahoma"/>
      <family val="2"/>
    </font>
    <font>
      <sz val="10"/>
      <color indexed="14"/>
      <name val="Arial"/>
      <family val="2"/>
    </font>
    <font>
      <sz val="12"/>
      <color indexed="81"/>
      <name val="Tahoma"/>
      <family val="2"/>
    </font>
    <font>
      <b/>
      <sz val="11"/>
      <color indexed="81"/>
      <name val="Tahoma"/>
      <family val="2"/>
    </font>
    <font>
      <b/>
      <sz val="9"/>
      <color indexed="8"/>
      <name val="Arial"/>
      <family val="2"/>
    </font>
    <font>
      <b/>
      <sz val="16"/>
      <color indexed="8"/>
      <name val="Arial"/>
      <family val="2"/>
    </font>
    <font>
      <b/>
      <sz val="14"/>
      <color indexed="17"/>
      <name val="Arial"/>
      <family val="2"/>
    </font>
    <font>
      <sz val="7"/>
      <name val="Arial"/>
      <family val="2"/>
    </font>
    <font>
      <sz val="10"/>
      <name val="Helv"/>
    </font>
    <font>
      <sz val="12"/>
      <color indexed="17"/>
      <name val="Arial"/>
      <family val="2"/>
    </font>
    <font>
      <b/>
      <sz val="12"/>
      <color indexed="17"/>
      <name val="Arial"/>
      <family val="2"/>
    </font>
    <font>
      <b/>
      <sz val="16"/>
      <color indexed="17"/>
      <name val="Arial"/>
      <family val="2"/>
    </font>
    <font>
      <sz val="10"/>
      <color indexed="18"/>
      <name val="Arial"/>
      <family val="2"/>
    </font>
    <font>
      <sz val="11"/>
      <color indexed="18"/>
      <name val="Arial"/>
      <family val="2"/>
    </font>
    <font>
      <b/>
      <sz val="10"/>
      <color indexed="18"/>
      <name val="Arial"/>
      <family val="2"/>
    </font>
    <font>
      <b/>
      <sz val="12"/>
      <color indexed="18"/>
      <name val="Arial"/>
      <family val="2"/>
    </font>
    <font>
      <sz val="12"/>
      <color indexed="18"/>
      <name val="Arial"/>
      <family val="2"/>
    </font>
    <font>
      <sz val="10"/>
      <color indexed="18"/>
      <name val="Arial"/>
      <family val="2"/>
    </font>
    <font>
      <b/>
      <sz val="36"/>
      <color indexed="18"/>
      <name val="Arial"/>
      <family val="2"/>
    </font>
    <font>
      <vertAlign val="superscript"/>
      <sz val="9"/>
      <name val="Arial"/>
      <family val="2"/>
    </font>
    <font>
      <sz val="10"/>
      <color indexed="22"/>
      <name val="Arial"/>
      <family val="2"/>
    </font>
    <font>
      <u/>
      <sz val="10"/>
      <color indexed="9"/>
      <name val="Arial"/>
      <family val="2"/>
    </font>
    <font>
      <b/>
      <sz val="12"/>
      <color indexed="81"/>
      <name val="Tahoma"/>
      <family val="2"/>
    </font>
    <font>
      <sz val="18"/>
      <name val="Arial"/>
      <family val="2"/>
    </font>
    <font>
      <sz val="20"/>
      <name val="Arial"/>
      <family val="2"/>
    </font>
    <font>
      <b/>
      <u/>
      <sz val="8"/>
      <color indexed="12"/>
      <name val="Arial"/>
      <family val="2"/>
    </font>
    <font>
      <u/>
      <sz val="8"/>
      <color indexed="12"/>
      <name val="Arial"/>
      <family val="2"/>
    </font>
    <font>
      <sz val="11"/>
      <color indexed="8"/>
      <name val="Arial"/>
      <family val="2"/>
    </font>
    <font>
      <sz val="6"/>
      <color indexed="9"/>
      <name val="Arial"/>
      <family val="2"/>
    </font>
    <font>
      <b/>
      <sz val="20"/>
      <color indexed="17"/>
      <name val="Arial"/>
      <family val="2"/>
    </font>
    <font>
      <b/>
      <sz val="18"/>
      <color indexed="8"/>
      <name val="Arial"/>
      <family val="2"/>
    </font>
    <font>
      <b/>
      <sz val="9"/>
      <color indexed="81"/>
      <name val="Tahoma"/>
      <family val="2"/>
    </font>
    <font>
      <sz val="11"/>
      <color indexed="10"/>
      <name val="Arial"/>
      <family val="2"/>
    </font>
    <font>
      <sz val="10"/>
      <color indexed="12"/>
      <name val="Arial"/>
      <family val="2"/>
    </font>
    <font>
      <sz val="10"/>
      <color indexed="12"/>
      <name val="Arial"/>
      <family val="2"/>
    </font>
    <font>
      <i/>
      <sz val="8"/>
      <color indexed="12"/>
      <name val="Arial"/>
      <family val="2"/>
    </font>
    <font>
      <b/>
      <sz val="10"/>
      <color indexed="12"/>
      <name val="Arial"/>
      <family val="2"/>
    </font>
    <font>
      <i/>
      <sz val="10"/>
      <color indexed="12"/>
      <name val="Arial"/>
      <family val="2"/>
    </font>
    <font>
      <b/>
      <sz val="12"/>
      <color indexed="12"/>
      <name val="Arial"/>
      <family val="2"/>
    </font>
    <font>
      <sz val="12"/>
      <color indexed="12"/>
      <name val="Times New Roman"/>
      <family val="1"/>
    </font>
    <font>
      <b/>
      <i/>
      <sz val="10"/>
      <color indexed="12"/>
      <name val="Arial"/>
      <family val="2"/>
    </font>
    <font>
      <sz val="11"/>
      <color indexed="12"/>
      <name val="Arial"/>
      <family val="2"/>
    </font>
    <font>
      <sz val="14"/>
      <color indexed="12"/>
      <name val="Arial"/>
      <family val="2"/>
    </font>
    <font>
      <b/>
      <sz val="11"/>
      <color indexed="12"/>
      <name val="Arial"/>
      <family val="2"/>
    </font>
    <font>
      <sz val="12"/>
      <color indexed="12"/>
      <name val="Arial"/>
      <family val="2"/>
    </font>
    <font>
      <b/>
      <sz val="14"/>
      <color indexed="12"/>
      <name val="Arial"/>
      <family val="2"/>
    </font>
    <font>
      <sz val="10"/>
      <color indexed="62"/>
      <name val="Arial"/>
      <family val="2"/>
    </font>
    <font>
      <sz val="9"/>
      <color indexed="9"/>
      <name val="Arial"/>
      <family val="2"/>
    </font>
    <font>
      <sz val="10"/>
      <color indexed="9"/>
      <name val="Arial"/>
      <family val="2"/>
    </font>
    <font>
      <b/>
      <sz val="12"/>
      <color indexed="9"/>
      <name val="Arial"/>
      <family val="2"/>
    </font>
    <font>
      <b/>
      <sz val="14"/>
      <color indexed="9"/>
      <name val="Arial"/>
      <family val="2"/>
    </font>
    <font>
      <sz val="7"/>
      <color indexed="9"/>
      <name val="Arial"/>
      <family val="2"/>
    </font>
    <font>
      <sz val="14"/>
      <color indexed="9"/>
      <name val="Arial"/>
      <family val="2"/>
    </font>
    <font>
      <sz val="12"/>
      <color indexed="9"/>
      <name val="Arial"/>
      <family val="2"/>
    </font>
    <font>
      <b/>
      <sz val="9"/>
      <color indexed="9"/>
      <name val="Arial"/>
      <family val="2"/>
    </font>
    <font>
      <b/>
      <sz val="9"/>
      <color indexed="55"/>
      <name val="Arial"/>
      <family val="2"/>
    </font>
    <font>
      <b/>
      <sz val="16"/>
      <color indexed="81"/>
      <name val="Tahoma"/>
      <family val="2"/>
    </font>
    <font>
      <sz val="18"/>
      <color indexed="8"/>
      <name val="Arial"/>
      <family val="2"/>
    </font>
    <font>
      <sz val="10"/>
      <color theme="0"/>
      <name val="Arial"/>
      <family val="2"/>
    </font>
    <font>
      <sz val="10"/>
      <color theme="0" tint="-4.9989318521683403E-2"/>
      <name val="Arial"/>
      <family val="2"/>
    </font>
    <font>
      <sz val="8"/>
      <color theme="0" tint="-4.9989318521683403E-2"/>
      <name val="Arial"/>
      <family val="2"/>
    </font>
    <font>
      <sz val="16"/>
      <color indexed="81"/>
      <name val="Tahoma"/>
      <family val="2"/>
    </font>
    <font>
      <b/>
      <sz val="12"/>
      <color indexed="8"/>
      <name val="Arial"/>
      <family val="2"/>
    </font>
    <font>
      <sz val="10"/>
      <color rgb="FFFF00FF"/>
      <name val="Arial"/>
      <family val="2"/>
    </font>
    <font>
      <b/>
      <sz val="8"/>
      <color rgb="FF000000"/>
      <name val="Tahoma"/>
      <family val="2"/>
    </font>
    <font>
      <sz val="10"/>
      <color rgb="FFFF0000"/>
      <name val="Arial"/>
      <family val="2"/>
    </font>
    <font>
      <sz val="9"/>
      <color theme="0"/>
      <name val="Arial"/>
      <family val="2"/>
    </font>
    <font>
      <sz val="14"/>
      <color theme="0"/>
      <name val="Arial"/>
      <family val="2"/>
    </font>
    <font>
      <b/>
      <sz val="12"/>
      <color theme="0"/>
      <name val="Arial"/>
      <family val="2"/>
    </font>
    <font>
      <sz val="12"/>
      <color theme="0"/>
      <name val="Arial"/>
      <family val="2"/>
    </font>
    <font>
      <b/>
      <sz val="14"/>
      <color theme="0"/>
      <name val="Arial"/>
      <family val="2"/>
    </font>
    <font>
      <sz val="7"/>
      <color theme="0"/>
      <name val="Arial"/>
      <family val="2"/>
    </font>
    <font>
      <b/>
      <sz val="9"/>
      <color theme="0"/>
      <name val="Arial"/>
      <family val="2"/>
    </font>
    <font>
      <sz val="12"/>
      <color rgb="FFFF0000"/>
      <name val="Arial"/>
      <family val="2"/>
    </font>
    <font>
      <vertAlign val="subscript"/>
      <sz val="12"/>
      <name val="Arial"/>
      <family val="2"/>
    </font>
    <font>
      <sz val="12"/>
      <color theme="9"/>
      <name val="Arial"/>
      <family val="2"/>
    </font>
    <font>
      <sz val="9"/>
      <color indexed="81"/>
      <name val="Segoe UI"/>
      <family val="2"/>
    </font>
    <font>
      <b/>
      <sz val="9"/>
      <color indexed="81"/>
      <name val="Segoe UI"/>
      <family val="2"/>
    </font>
    <font>
      <b/>
      <sz val="10"/>
      <color theme="1"/>
      <name val="Arial"/>
      <family val="2"/>
    </font>
    <font>
      <b/>
      <sz val="12"/>
      <color indexed="81"/>
      <name val="Segoe UI"/>
      <family val="2"/>
    </font>
  </fonts>
  <fills count="18">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12"/>
        <bgColor indexed="64"/>
      </patternFill>
    </fill>
    <fill>
      <patternFill patternType="solid">
        <fgColor indexed="55"/>
        <bgColor indexed="64"/>
      </patternFill>
    </fill>
    <fill>
      <patternFill patternType="solid">
        <fgColor indexed="65"/>
        <bgColor indexed="8"/>
      </patternFill>
    </fill>
    <fill>
      <patternFill patternType="solid">
        <fgColor theme="0" tint="-0.249977111117893"/>
        <bgColor indexed="64"/>
      </patternFill>
    </fill>
    <fill>
      <patternFill patternType="solid">
        <fgColor rgb="FFFFFF00"/>
        <bgColor indexed="64"/>
      </patternFill>
    </fill>
    <fill>
      <patternFill patternType="solid">
        <fgColor rgb="FFCCECFF"/>
        <bgColor rgb="FF000000"/>
      </patternFill>
    </fill>
    <fill>
      <patternFill patternType="solid">
        <fgColor rgb="FFFFFF99"/>
        <bgColor indexed="64"/>
      </patternFill>
    </fill>
    <fill>
      <patternFill patternType="solid">
        <fgColor rgb="FFDDDDDD"/>
        <bgColor indexed="64"/>
      </patternFill>
    </fill>
    <fill>
      <patternFill patternType="solid">
        <fgColor theme="9" tint="0.79998168889431442"/>
        <bgColor indexed="64"/>
      </patternFill>
    </fill>
    <fill>
      <patternFill patternType="solid">
        <fgColor theme="6"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7">
    <xf numFmtId="0" fontId="0" fillId="0" borderId="0"/>
    <xf numFmtId="164" fontId="3" fillId="0" borderId="0" applyFon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9" fontId="3" fillId="0" borderId="0" applyFont="0" applyFill="0" applyBorder="0" applyAlignment="0" applyProtection="0"/>
    <xf numFmtId="0" fontId="7" fillId="0" borderId="0"/>
    <xf numFmtId="0" fontId="7" fillId="0" borderId="0"/>
    <xf numFmtId="0" fontId="70" fillId="0" borderId="0"/>
    <xf numFmtId="0" fontId="7"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3" fillId="0" borderId="0"/>
  </cellStyleXfs>
  <cellXfs count="954">
    <xf numFmtId="0" fontId="0" fillId="0" borderId="0" xfId="0"/>
    <xf numFmtId="0" fontId="4" fillId="0" borderId="0" xfId="0" applyFont="1" applyAlignment="1">
      <alignment horizontal="left"/>
    </xf>
    <xf numFmtId="0" fontId="0" fillId="0" borderId="0" xfId="0" applyAlignment="1">
      <alignment horizontal="center"/>
    </xf>
    <xf numFmtId="0" fontId="5" fillId="0" borderId="0" xfId="0" applyFont="1"/>
    <xf numFmtId="0" fontId="0" fillId="0" borderId="0" xfId="0" applyAlignment="1">
      <alignment horizontal="right"/>
    </xf>
    <xf numFmtId="165" fontId="0" fillId="0" borderId="0" xfId="1" applyNumberFormat="1" applyFont="1" applyAlignment="1">
      <alignment horizontal="center"/>
    </xf>
    <xf numFmtId="0" fontId="0" fillId="0" borderId="0" xfId="0" applyAlignment="1">
      <alignment horizontal="left"/>
    </xf>
    <xf numFmtId="0" fontId="6" fillId="0" borderId="0" xfId="0" applyFont="1"/>
    <xf numFmtId="1" fontId="0" fillId="0" borderId="0" xfId="0" applyNumberFormat="1" applyAlignment="1">
      <alignment horizontal="center"/>
    </xf>
    <xf numFmtId="9" fontId="0" fillId="0" borderId="0" xfId="4" applyFont="1"/>
    <xf numFmtId="0" fontId="11" fillId="0" borderId="0" xfId="0" applyFont="1"/>
    <xf numFmtId="9" fontId="8" fillId="0" borderId="0" xfId="4" applyFont="1"/>
    <xf numFmtId="9" fontId="11" fillId="0" borderId="0" xfId="4" applyFont="1" applyAlignment="1">
      <alignment horizontal="right"/>
    </xf>
    <xf numFmtId="0" fontId="0" fillId="0" borderId="0" xfId="0" applyFill="1"/>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0" xfId="0" applyFill="1" applyBorder="1" applyAlignment="1">
      <alignment horizontal="center"/>
    </xf>
    <xf numFmtId="0" fontId="11" fillId="0" borderId="0" xfId="0" applyFont="1" applyFill="1" applyBorder="1" applyAlignment="1">
      <alignment horizontal="right"/>
    </xf>
    <xf numFmtId="0" fontId="6" fillId="0" borderId="0" xfId="0" applyFont="1" applyBorder="1" applyAlignment="1">
      <alignment horizontal="center"/>
    </xf>
    <xf numFmtId="0" fontId="7" fillId="0" borderId="0" xfId="0" applyFont="1" applyAlignment="1">
      <alignment horizontal="right"/>
    </xf>
    <xf numFmtId="0" fontId="4" fillId="0" borderId="0" xfId="0" applyFont="1" applyAlignment="1">
      <alignment horizontal="right"/>
    </xf>
    <xf numFmtId="0" fontId="11" fillId="0" borderId="0" xfId="0" applyFont="1" applyFill="1" applyBorder="1"/>
    <xf numFmtId="0" fontId="5" fillId="0" borderId="0" xfId="0" applyFont="1" applyFill="1" applyAlignment="1">
      <alignment horizontal="right"/>
    </xf>
    <xf numFmtId="0" fontId="21" fillId="0" borderId="0" xfId="0" applyFont="1"/>
    <xf numFmtId="0" fontId="0" fillId="0" borderId="0" xfId="0" applyFill="1" applyAlignment="1">
      <alignment horizontal="center"/>
    </xf>
    <xf numFmtId="0" fontId="27" fillId="0" borderId="0" xfId="0" applyFont="1"/>
    <xf numFmtId="0" fontId="17" fillId="0" borderId="0" xfId="0" applyFont="1"/>
    <xf numFmtId="0" fontId="0" fillId="0" borderId="1" xfId="0" applyFill="1" applyBorder="1" applyAlignment="1">
      <alignment horizontal="center"/>
    </xf>
    <xf numFmtId="0" fontId="21" fillId="0" borderId="0" xfId="0" applyFont="1" applyAlignment="1">
      <alignment horizontal="left"/>
    </xf>
    <xf numFmtId="0" fontId="5" fillId="0" borderId="0" xfId="0" applyFont="1" applyFill="1" applyAlignment="1">
      <alignment horizontal="center"/>
    </xf>
    <xf numFmtId="0" fontId="7" fillId="0" borderId="0" xfId="0" applyFont="1" applyFill="1" applyAlignment="1">
      <alignment horizontal="center"/>
    </xf>
    <xf numFmtId="0" fontId="8" fillId="0" borderId="0" xfId="0" applyFont="1" applyAlignment="1" applyProtection="1">
      <alignment horizontal="left"/>
    </xf>
    <xf numFmtId="0" fontId="5" fillId="0" borderId="0" xfId="0" applyFont="1" applyAlignment="1">
      <alignment horizontal="center"/>
    </xf>
    <xf numFmtId="0" fontId="10" fillId="0" borderId="0" xfId="0" applyFont="1"/>
    <xf numFmtId="0" fontId="18" fillId="0" borderId="0" xfId="2" applyAlignment="1" applyProtection="1">
      <alignment horizontal="center"/>
    </xf>
    <xf numFmtId="0" fontId="18" fillId="0" borderId="0" xfId="2" applyAlignment="1" applyProtection="1"/>
    <xf numFmtId="0" fontId="10" fillId="0" borderId="0" xfId="0" applyFont="1" applyAlignment="1">
      <alignment horizontal="right"/>
    </xf>
    <xf numFmtId="0" fontId="0" fillId="0" borderId="0" xfId="0" applyFill="1" applyAlignment="1">
      <alignment horizontal="right"/>
    </xf>
    <xf numFmtId="0" fontId="0" fillId="0" borderId="2" xfId="0" applyBorder="1" applyAlignment="1">
      <alignment horizontal="center"/>
    </xf>
    <xf numFmtId="0" fontId="6" fillId="0" borderId="2" xfId="0" applyFont="1" applyBorder="1" applyAlignment="1">
      <alignment horizontal="center"/>
    </xf>
    <xf numFmtId="0" fontId="25" fillId="0" borderId="0" xfId="0" applyFont="1" applyBorder="1"/>
    <xf numFmtId="0" fontId="6" fillId="0" borderId="0" xfId="0" applyFont="1" applyBorder="1" applyAlignment="1">
      <alignment horizontal="left" wrapText="1"/>
    </xf>
    <xf numFmtId="0" fontId="17" fillId="0" borderId="0" xfId="0" applyFont="1" applyAlignment="1">
      <alignment horizontal="right"/>
    </xf>
    <xf numFmtId="0" fontId="0" fillId="0" borderId="0" xfId="0" applyAlignment="1">
      <alignment horizontal="center" vertical="center"/>
    </xf>
    <xf numFmtId="0" fontId="0" fillId="0" borderId="0" xfId="0" applyAlignment="1">
      <alignment horizontal="left" wrapText="1"/>
    </xf>
    <xf numFmtId="0" fontId="6" fillId="0" borderId="0" xfId="0" applyFont="1" applyBorder="1" applyAlignment="1">
      <alignment horizontal="left"/>
    </xf>
    <xf numFmtId="0" fontId="6" fillId="0" borderId="2" xfId="0" applyFont="1" applyFill="1" applyBorder="1" applyAlignment="1">
      <alignment horizontal="center"/>
    </xf>
    <xf numFmtId="0" fontId="0" fillId="0" borderId="0" xfId="0" applyFill="1" applyAlignment="1">
      <alignment horizontal="left"/>
    </xf>
    <xf numFmtId="0" fontId="6" fillId="0" borderId="0" xfId="0" applyFont="1" applyFill="1"/>
    <xf numFmtId="0" fontId="0" fillId="0" borderId="0" xfId="0" applyFill="1" applyBorder="1"/>
    <xf numFmtId="1" fontId="0" fillId="0" borderId="0" xfId="0" applyNumberFormat="1" applyFill="1" applyAlignment="1">
      <alignment horizontal="center"/>
    </xf>
    <xf numFmtId="166" fontId="6" fillId="0" borderId="0" xfId="1" applyNumberFormat="1" applyFont="1" applyFill="1" applyAlignment="1">
      <alignment horizontal="center"/>
    </xf>
    <xf numFmtId="166" fontId="6" fillId="0" borderId="0" xfId="1" applyNumberFormat="1" applyFont="1" applyFill="1" applyBorder="1" applyAlignment="1">
      <alignment horizontal="center"/>
    </xf>
    <xf numFmtId="0" fontId="12" fillId="0" borderId="0" xfId="0" applyFont="1" applyFill="1" applyBorder="1" applyAlignment="1">
      <alignment horizontal="right"/>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1" fontId="0" fillId="0" borderId="0" xfId="0" applyNumberFormat="1" applyFill="1"/>
    <xf numFmtId="0" fontId="7" fillId="0" borderId="0" xfId="0" applyFont="1" applyFill="1" applyBorder="1" applyAlignment="1">
      <alignment horizontal="right"/>
    </xf>
    <xf numFmtId="0" fontId="11" fillId="0" borderId="0" xfId="0" applyFont="1" applyFill="1"/>
    <xf numFmtId="0" fontId="11" fillId="0" borderId="0" xfId="0" applyFont="1" applyFill="1" applyAlignment="1">
      <alignment horizontal="right"/>
    </xf>
    <xf numFmtId="0" fontId="11" fillId="0" borderId="0" xfId="0" applyFont="1" applyFill="1" applyAlignment="1">
      <alignment horizontal="center"/>
    </xf>
    <xf numFmtId="1" fontId="11" fillId="0" borderId="0" xfId="0" applyNumberFormat="1" applyFont="1" applyFill="1" applyAlignment="1">
      <alignment horizontal="center"/>
    </xf>
    <xf numFmtId="0" fontId="13" fillId="0" borderId="0" xfId="0" applyFont="1" applyFill="1" applyAlignment="1">
      <alignment horizontal="right"/>
    </xf>
    <xf numFmtId="165" fontId="11" fillId="0" borderId="0" xfId="1" applyNumberFormat="1" applyFont="1" applyFill="1"/>
    <xf numFmtId="0" fontId="11" fillId="0" borderId="0" xfId="0" applyFont="1" applyFill="1" applyBorder="1" applyAlignment="1">
      <alignment horizontal="left"/>
    </xf>
    <xf numFmtId="165" fontId="11" fillId="0" borderId="0" xfId="1" applyNumberFormat="1" applyFont="1" applyFill="1" applyBorder="1" applyAlignment="1">
      <alignment horizontal="center"/>
    </xf>
    <xf numFmtId="0" fontId="11" fillId="0" borderId="0" xfId="0" applyFont="1" applyFill="1" applyBorder="1" applyAlignment="1">
      <alignment horizontal="center"/>
    </xf>
    <xf numFmtId="1" fontId="11" fillId="0" borderId="0" xfId="0" applyNumberFormat="1" applyFont="1" applyFill="1" applyBorder="1" applyAlignment="1">
      <alignment horizontal="center"/>
    </xf>
    <xf numFmtId="0" fontId="13" fillId="0" borderId="0" xfId="0" applyFont="1" applyFill="1" applyBorder="1" applyAlignment="1">
      <alignment horizontal="right"/>
    </xf>
    <xf numFmtId="165" fontId="11" fillId="0" borderId="0" xfId="1" applyNumberFormat="1" applyFont="1" applyFill="1" applyBorder="1"/>
    <xf numFmtId="1" fontId="0" fillId="0" borderId="1" xfId="0" applyNumberFormat="1" applyFill="1" applyBorder="1" applyAlignment="1">
      <alignment horizontal="center"/>
    </xf>
    <xf numFmtId="0" fontId="0" fillId="0" borderId="1" xfId="0" applyFill="1" applyBorder="1"/>
    <xf numFmtId="0" fontId="5" fillId="0" borderId="1" xfId="0" applyFont="1" applyFill="1" applyBorder="1" applyAlignment="1">
      <alignment horizontal="center"/>
    </xf>
    <xf numFmtId="0" fontId="7" fillId="0" borderId="1" xfId="0" applyFont="1" applyFill="1" applyBorder="1" applyAlignment="1">
      <alignment horizontal="center"/>
    </xf>
    <xf numFmtId="1" fontId="6" fillId="0" borderId="0" xfId="0" applyNumberFormat="1" applyFont="1" applyFill="1" applyAlignment="1">
      <alignment horizontal="center"/>
    </xf>
    <xf numFmtId="0" fontId="6" fillId="0" borderId="0" xfId="0" applyFont="1" applyFill="1" applyAlignment="1">
      <alignment horizontal="center"/>
    </xf>
    <xf numFmtId="167" fontId="0" fillId="0" borderId="0" xfId="0" applyNumberFormat="1" applyFill="1" applyAlignment="1">
      <alignment horizontal="center"/>
    </xf>
    <xf numFmtId="0" fontId="0" fillId="0" borderId="0" xfId="0" applyFill="1" applyAlignment="1">
      <alignment horizontal="center" vertical="center"/>
    </xf>
    <xf numFmtId="0" fontId="9" fillId="0" borderId="0" xfId="0" applyFont="1"/>
    <xf numFmtId="0" fontId="31" fillId="0" borderId="0" xfId="0" applyFont="1" applyAlignment="1">
      <alignment wrapText="1"/>
    </xf>
    <xf numFmtId="0" fontId="36" fillId="0" borderId="0" xfId="0" applyFont="1" applyAlignment="1">
      <alignment horizontal="right" vertical="center"/>
    </xf>
    <xf numFmtId="168" fontId="5" fillId="0" borderId="0" xfId="0" applyNumberFormat="1" applyFont="1" applyFill="1" applyBorder="1" applyAlignment="1">
      <alignment horizontal="center" vertical="center"/>
    </xf>
    <xf numFmtId="0" fontId="31" fillId="0" borderId="0" xfId="0" applyFont="1" applyAlignment="1">
      <alignment horizontal="right"/>
    </xf>
    <xf numFmtId="0" fontId="31" fillId="0" borderId="0" xfId="0" applyFont="1" applyFill="1" applyAlignment="1">
      <alignment horizontal="center" vertical="center"/>
    </xf>
    <xf numFmtId="9" fontId="31" fillId="0" borderId="2" xfId="4" applyFont="1" applyFill="1" applyBorder="1" applyAlignment="1">
      <alignment horizontal="center" vertical="center"/>
    </xf>
    <xf numFmtId="0" fontId="5" fillId="0" borderId="0" xfId="0" applyFont="1" applyFill="1" applyBorder="1" applyAlignment="1">
      <alignment horizontal="center"/>
    </xf>
    <xf numFmtId="165" fontId="12" fillId="0" borderId="0" xfId="1" applyNumberFormat="1" applyFont="1" applyFill="1" applyBorder="1"/>
    <xf numFmtId="166" fontId="5" fillId="0" borderId="0" xfId="1" applyNumberFormat="1" applyFont="1" applyFill="1" applyAlignment="1">
      <alignment horizontal="center" vertical="center"/>
    </xf>
    <xf numFmtId="0" fontId="5" fillId="0" borderId="0" xfId="0" applyFont="1" applyFill="1" applyAlignment="1">
      <alignment vertical="center"/>
    </xf>
    <xf numFmtId="0" fontId="17" fillId="0" borderId="0" xfId="0" applyFont="1" applyFill="1"/>
    <xf numFmtId="0" fontId="7" fillId="0" borderId="0" xfId="0" applyFont="1" applyAlignment="1">
      <alignment horizontal="center"/>
    </xf>
    <xf numFmtId="0" fontId="0" fillId="0" borderId="0" xfId="0" applyFill="1" applyBorder="1" applyAlignment="1">
      <alignment horizontal="left"/>
    </xf>
    <xf numFmtId="0" fontId="0" fillId="0" borderId="0" xfId="0" applyFill="1" applyBorder="1" applyAlignment="1">
      <alignment horizontal="right"/>
    </xf>
    <xf numFmtId="1" fontId="0" fillId="0" borderId="0" xfId="0" applyNumberFormat="1" applyFill="1" applyBorder="1" applyAlignment="1">
      <alignment horizontal="center"/>
    </xf>
    <xf numFmtId="0" fontId="7" fillId="0" borderId="0" xfId="0" applyFont="1" applyFill="1" applyBorder="1" applyAlignment="1">
      <alignment horizontal="center"/>
    </xf>
    <xf numFmtId="0" fontId="9" fillId="0" borderId="0" xfId="0" applyFont="1" applyFill="1" applyBorder="1" applyAlignment="1">
      <alignment horizontal="center"/>
    </xf>
    <xf numFmtId="1" fontId="5" fillId="0" borderId="0" xfId="0" applyNumberFormat="1" applyFont="1" applyFill="1" applyAlignment="1">
      <alignment horizontal="center"/>
    </xf>
    <xf numFmtId="0" fontId="12" fillId="0" borderId="1" xfId="0" applyFont="1" applyFill="1" applyBorder="1" applyAlignment="1">
      <alignment horizontal="center"/>
    </xf>
    <xf numFmtId="0" fontId="12" fillId="0" borderId="0" xfId="0" applyFont="1" applyFill="1" applyAlignment="1">
      <alignment horizontal="center"/>
    </xf>
    <xf numFmtId="0" fontId="12" fillId="0" borderId="0" xfId="0" applyFont="1" applyFill="1" applyAlignment="1">
      <alignment horizontal="right"/>
    </xf>
    <xf numFmtId="1" fontId="5" fillId="0" borderId="0" xfId="0" applyNumberFormat="1" applyFont="1" applyFill="1" applyBorder="1" applyAlignment="1">
      <alignment horizontal="center"/>
    </xf>
    <xf numFmtId="1" fontId="12" fillId="2" borderId="0" xfId="0" applyNumberFormat="1" applyFont="1" applyFill="1" applyBorder="1" applyAlignment="1" applyProtection="1">
      <alignment horizontal="center"/>
      <protection locked="0"/>
    </xf>
    <xf numFmtId="0" fontId="31" fillId="0" borderId="0" xfId="0" applyFont="1" applyFill="1" applyAlignment="1" applyProtection="1">
      <alignment horizontal="center"/>
      <protection locked="0"/>
    </xf>
    <xf numFmtId="0" fontId="17" fillId="0" borderId="0" xfId="0" applyFont="1" applyAlignment="1">
      <alignment horizontal="center" vertical="center"/>
    </xf>
    <xf numFmtId="0" fontId="31" fillId="0" borderId="0" xfId="0" applyFont="1" applyBorder="1" applyAlignment="1">
      <alignment horizontal="center" wrapText="1"/>
    </xf>
    <xf numFmtId="9" fontId="31" fillId="0" borderId="0" xfId="4" applyFont="1" applyFill="1" applyBorder="1" applyAlignment="1">
      <alignment horizontal="center" vertical="center"/>
    </xf>
    <xf numFmtId="0" fontId="23" fillId="0" borderId="0" xfId="0" applyFont="1"/>
    <xf numFmtId="0" fontId="25" fillId="0" borderId="0" xfId="0" applyFont="1" applyFill="1" applyAlignment="1">
      <alignment horizontal="center"/>
    </xf>
    <xf numFmtId="167" fontId="0" fillId="0" borderId="0" xfId="0" applyNumberFormat="1" applyAlignment="1">
      <alignment horizontal="right"/>
    </xf>
    <xf numFmtId="0" fontId="17" fillId="0" borderId="0" xfId="0" applyFont="1" applyAlignment="1">
      <alignment horizontal="left" wrapText="1"/>
    </xf>
    <xf numFmtId="165" fontId="23" fillId="0" borderId="0" xfId="1" applyNumberFormat="1" applyFont="1" applyAlignment="1">
      <alignment horizontal="left"/>
    </xf>
    <xf numFmtId="0" fontId="0" fillId="3" borderId="0" xfId="0" applyFill="1" applyAlignment="1">
      <alignment vertical="center"/>
    </xf>
    <xf numFmtId="0" fontId="5" fillId="0" borderId="0" xfId="0" applyFont="1" applyBorder="1"/>
    <xf numFmtId="0" fontId="0" fillId="0" borderId="0" xfId="0" applyAlignment="1">
      <alignment vertical="center"/>
    </xf>
    <xf numFmtId="3" fontId="0" fillId="0" borderId="0" xfId="0" applyNumberFormat="1" applyFill="1" applyAlignment="1">
      <alignment horizontal="center"/>
    </xf>
    <xf numFmtId="0" fontId="28" fillId="3" borderId="0" xfId="0" applyFont="1" applyFill="1" applyAlignment="1">
      <alignment vertical="center" wrapText="1"/>
    </xf>
    <xf numFmtId="0" fontId="11" fillId="0" borderId="0" xfId="0" applyFont="1" applyAlignment="1">
      <alignment horizontal="right"/>
    </xf>
    <xf numFmtId="165" fontId="11" fillId="0" borderId="0" xfId="1" applyNumberFormat="1" applyFont="1" applyAlignment="1"/>
    <xf numFmtId="0" fontId="7" fillId="3" borderId="0" xfId="0" applyFont="1" applyFill="1" applyAlignment="1">
      <alignment vertical="center"/>
    </xf>
    <xf numFmtId="165" fontId="24" fillId="0" borderId="0" xfId="1" applyNumberFormat="1" applyFont="1" applyAlignment="1">
      <alignment horizontal="center"/>
    </xf>
    <xf numFmtId="3" fontId="12" fillId="3" borderId="0" xfId="0" applyNumberFormat="1" applyFont="1" applyFill="1" applyAlignment="1">
      <alignment horizontal="right" vertical="center"/>
    </xf>
    <xf numFmtId="3" fontId="12" fillId="3" borderId="0" xfId="0" applyNumberFormat="1" applyFont="1" applyFill="1" applyAlignment="1">
      <alignment horizontal="center" vertical="center"/>
    </xf>
    <xf numFmtId="168" fontId="12" fillId="3" borderId="0" xfId="4" applyNumberFormat="1" applyFont="1" applyFill="1" applyBorder="1" applyAlignment="1">
      <alignment horizontal="center" vertical="center"/>
    </xf>
    <xf numFmtId="3" fontId="12" fillId="3" borderId="0" xfId="0" applyNumberFormat="1" applyFont="1" applyFill="1" applyBorder="1" applyAlignment="1">
      <alignment horizontal="right" vertical="center"/>
    </xf>
    <xf numFmtId="3" fontId="12" fillId="3" borderId="0" xfId="0" applyNumberFormat="1" applyFont="1" applyFill="1" applyBorder="1" applyAlignment="1">
      <alignment horizontal="center" vertical="center"/>
    </xf>
    <xf numFmtId="168" fontId="12" fillId="3" borderId="0" xfId="4" applyNumberFormat="1" applyFont="1" applyFill="1" applyAlignment="1">
      <alignment horizontal="center" vertical="center"/>
    </xf>
    <xf numFmtId="0" fontId="12" fillId="0" borderId="0" xfId="0" applyFont="1" applyFill="1"/>
    <xf numFmtId="0" fontId="0" fillId="0" borderId="0" xfId="0" applyFill="1" applyAlignment="1">
      <alignment vertical="center"/>
    </xf>
    <xf numFmtId="0" fontId="47" fillId="0" borderId="0" xfId="2" applyFont="1" applyFill="1" applyBorder="1" applyAlignment="1" applyProtection="1">
      <alignment horizontal="right" vertical="center"/>
    </xf>
    <xf numFmtId="3" fontId="12" fillId="0" borderId="0" xfId="0" applyNumberFormat="1" applyFont="1" applyFill="1" applyBorder="1" applyAlignment="1">
      <alignment horizontal="right" vertical="center"/>
    </xf>
    <xf numFmtId="3" fontId="12" fillId="0" borderId="0" xfId="0" applyNumberFormat="1" applyFont="1" applyFill="1" applyBorder="1" applyAlignment="1">
      <alignment horizontal="center" vertical="center"/>
    </xf>
    <xf numFmtId="168" fontId="12" fillId="0" borderId="0" xfId="4" applyNumberFormat="1" applyFont="1" applyFill="1" applyBorder="1" applyAlignment="1">
      <alignment horizontal="center" vertical="center"/>
    </xf>
    <xf numFmtId="0" fontId="18" fillId="3" borderId="0" xfId="2" applyFill="1" applyBorder="1" applyAlignment="1" applyProtection="1">
      <alignment horizontal="right" vertical="center"/>
    </xf>
    <xf numFmtId="0" fontId="10" fillId="3" borderId="0" xfId="0" applyFont="1" applyFill="1" applyAlignment="1">
      <alignment vertical="center"/>
    </xf>
    <xf numFmtId="0" fontId="31" fillId="3" borderId="0" xfId="0" applyFont="1" applyFill="1" applyAlignment="1">
      <alignment horizontal="right"/>
    </xf>
    <xf numFmtId="0" fontId="41" fillId="4" borderId="0"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protection locked="0"/>
    </xf>
    <xf numFmtId="165" fontId="42" fillId="4" borderId="0" xfId="1" applyNumberFormat="1" applyFont="1" applyFill="1" applyBorder="1" applyAlignment="1" applyProtection="1">
      <alignment vertical="center" wrapText="1"/>
    </xf>
    <xf numFmtId="9" fontId="43" fillId="4" borderId="0" xfId="4" applyFont="1" applyFill="1" applyBorder="1"/>
    <xf numFmtId="0" fontId="33" fillId="4" borderId="0" xfId="0" applyFont="1" applyFill="1" applyBorder="1"/>
    <xf numFmtId="0" fontId="33" fillId="4" borderId="0" xfId="0" applyFont="1" applyFill="1" applyBorder="1" applyAlignment="1">
      <alignment horizontal="center"/>
    </xf>
    <xf numFmtId="1" fontId="33" fillId="4" borderId="0" xfId="0" applyNumberFormat="1" applyFont="1" applyFill="1" applyBorder="1"/>
    <xf numFmtId="0" fontId="33" fillId="4" borderId="0" xfId="0" applyFont="1" applyFill="1" applyBorder="1" applyAlignment="1">
      <alignment horizontal="right"/>
    </xf>
    <xf numFmtId="0" fontId="43" fillId="4" borderId="0" xfId="0" applyFont="1" applyFill="1" applyBorder="1" applyAlignment="1">
      <alignment horizontal="center"/>
    </xf>
    <xf numFmtId="0" fontId="42" fillId="4" borderId="0" xfId="0" applyFont="1" applyFill="1" applyBorder="1" applyAlignment="1" applyProtection="1">
      <alignment horizontal="center" vertical="center" wrapText="1"/>
    </xf>
    <xf numFmtId="0" fontId="33" fillId="4" borderId="0" xfId="0" applyFont="1" applyFill="1" applyBorder="1" applyAlignment="1">
      <alignment horizontal="center" wrapText="1"/>
    </xf>
    <xf numFmtId="0" fontId="43" fillId="4" borderId="0" xfId="0" applyFont="1" applyFill="1" applyBorder="1" applyAlignment="1" applyProtection="1">
      <alignment horizontal="right"/>
    </xf>
    <xf numFmtId="0" fontId="33" fillId="4" borderId="0" xfId="0" applyFont="1" applyFill="1" applyBorder="1" applyProtection="1"/>
    <xf numFmtId="0" fontId="41" fillId="4" borderId="0" xfId="0" applyFont="1" applyFill="1" applyBorder="1" applyAlignment="1">
      <alignment horizontal="center"/>
    </xf>
    <xf numFmtId="165" fontId="41" fillId="4" borderId="0" xfId="1" applyNumberFormat="1" applyFont="1" applyFill="1" applyBorder="1" applyAlignment="1" applyProtection="1">
      <alignment horizontal="center" vertical="center" wrapText="1"/>
    </xf>
    <xf numFmtId="0" fontId="33" fillId="4" borderId="0" xfId="0" applyFont="1" applyFill="1" applyBorder="1" applyAlignment="1" applyProtection="1">
      <alignment horizontal="right"/>
    </xf>
    <xf numFmtId="165" fontId="42" fillId="4" borderId="0" xfId="1" applyNumberFormat="1" applyFont="1" applyFill="1" applyBorder="1" applyAlignment="1" applyProtection="1">
      <alignment horizontal="center" vertical="center" wrapText="1"/>
    </xf>
    <xf numFmtId="165" fontId="51" fillId="4" borderId="0" xfId="1" applyNumberFormat="1" applyFont="1" applyFill="1" applyBorder="1" applyAlignment="1" applyProtection="1">
      <alignment horizontal="center" vertical="center" wrapText="1"/>
    </xf>
    <xf numFmtId="9" fontId="42" fillId="4" borderId="0" xfId="4" applyFont="1" applyFill="1" applyBorder="1" applyAlignment="1" applyProtection="1">
      <alignment vertical="center" wrapText="1"/>
    </xf>
    <xf numFmtId="165" fontId="41" fillId="4" borderId="0" xfId="1" applyNumberFormat="1" applyFont="1" applyFill="1" applyBorder="1" applyAlignment="1" applyProtection="1">
      <alignment horizontal="center" vertical="top" wrapText="1"/>
    </xf>
    <xf numFmtId="170" fontId="33" fillId="4" borderId="0" xfId="0" applyNumberFormat="1" applyFont="1" applyFill="1" applyBorder="1" applyProtection="1"/>
    <xf numFmtId="1" fontId="41" fillId="4" borderId="0" xfId="0" applyNumberFormat="1" applyFont="1" applyFill="1" applyBorder="1" applyProtection="1"/>
    <xf numFmtId="1" fontId="41" fillId="4" borderId="0" xfId="0" applyNumberFormat="1" applyFont="1" applyFill="1" applyBorder="1" applyAlignment="1" applyProtection="1">
      <alignment horizontal="center"/>
    </xf>
    <xf numFmtId="1" fontId="50" fillId="4" borderId="0" xfId="0" applyNumberFormat="1" applyFont="1" applyFill="1" applyBorder="1" applyAlignment="1" applyProtection="1">
      <alignment horizontal="center"/>
    </xf>
    <xf numFmtId="0" fontId="50" fillId="4" borderId="0" xfId="0" applyFont="1" applyFill="1" applyBorder="1"/>
    <xf numFmtId="1" fontId="50" fillId="4" borderId="0" xfId="0" applyNumberFormat="1" applyFont="1" applyFill="1" applyBorder="1"/>
    <xf numFmtId="2" fontId="33" fillId="4" borderId="0" xfId="0" applyNumberFormat="1" applyFont="1" applyFill="1" applyBorder="1" applyAlignment="1">
      <alignment horizontal="center"/>
    </xf>
    <xf numFmtId="3" fontId="33" fillId="4" borderId="0" xfId="0" applyNumberFormat="1" applyFont="1" applyFill="1" applyBorder="1"/>
    <xf numFmtId="170" fontId="33" fillId="4" borderId="0" xfId="0" applyNumberFormat="1" applyFont="1" applyFill="1" applyBorder="1"/>
    <xf numFmtId="3" fontId="33" fillId="4" borderId="0" xfId="0" applyNumberFormat="1" applyFont="1" applyFill="1" applyBorder="1" applyAlignment="1">
      <alignment horizontal="center"/>
    </xf>
    <xf numFmtId="3" fontId="43" fillId="4" borderId="0" xfId="0" applyNumberFormat="1" applyFont="1" applyFill="1" applyBorder="1" applyAlignment="1">
      <alignment horizontal="center"/>
    </xf>
    <xf numFmtId="0" fontId="33" fillId="4" borderId="0" xfId="0" applyFont="1" applyFill="1" applyBorder="1" applyAlignment="1">
      <alignment horizontal="left"/>
    </xf>
    <xf numFmtId="165" fontId="33" fillId="4" borderId="0" xfId="1" applyNumberFormat="1" applyFont="1" applyFill="1" applyBorder="1" applyAlignment="1"/>
    <xf numFmtId="0" fontId="33" fillId="4" borderId="0" xfId="0" applyFont="1" applyFill="1"/>
    <xf numFmtId="165" fontId="0" fillId="3" borderId="0" xfId="1" applyNumberFormat="1" applyFont="1" applyFill="1" applyAlignment="1">
      <alignment horizontal="center"/>
    </xf>
    <xf numFmtId="0" fontId="0" fillId="0" borderId="0" xfId="0" applyAlignment="1"/>
    <xf numFmtId="0" fontId="12" fillId="0" borderId="0" xfId="0" applyFont="1"/>
    <xf numFmtId="0" fontId="12" fillId="0" borderId="0" xfId="0" applyFont="1" applyAlignment="1">
      <alignment horizontal="center"/>
    </xf>
    <xf numFmtId="0" fontId="10" fillId="0" borderId="0" xfId="0" applyFont="1" applyFill="1" applyAlignment="1">
      <alignment horizontal="left"/>
    </xf>
    <xf numFmtId="0" fontId="4" fillId="0" borderId="0" xfId="0" applyFont="1"/>
    <xf numFmtId="0" fontId="6" fillId="5" borderId="0" xfId="0" applyFont="1" applyFill="1" applyAlignment="1">
      <alignment horizontal="center"/>
    </xf>
    <xf numFmtId="0" fontId="7" fillId="0" borderId="0" xfId="0" applyFont="1" applyFill="1" applyAlignment="1">
      <alignment horizontal="right"/>
    </xf>
    <xf numFmtId="0" fontId="31" fillId="0" borderId="0" xfId="0" applyFont="1" applyFill="1" applyAlignment="1">
      <alignment horizontal="left"/>
    </xf>
    <xf numFmtId="0" fontId="6" fillId="5" borderId="1" xfId="0" applyFont="1" applyFill="1" applyBorder="1" applyAlignment="1">
      <alignment horizontal="center"/>
    </xf>
    <xf numFmtId="0" fontId="9" fillId="0" borderId="0" xfId="0" applyFont="1" applyFill="1" applyAlignment="1">
      <alignment horizontal="left"/>
    </xf>
    <xf numFmtId="3" fontId="0" fillId="0" borderId="0" xfId="0" applyNumberFormat="1" applyFill="1" applyAlignment="1">
      <alignment horizontal="right" vertical="center"/>
    </xf>
    <xf numFmtId="165" fontId="0" fillId="0" borderId="0" xfId="1" applyNumberFormat="1" applyFont="1" applyFill="1" applyAlignment="1">
      <alignment horizontal="center" vertical="center"/>
    </xf>
    <xf numFmtId="168" fontId="0" fillId="0" borderId="0" xfId="4" applyNumberFormat="1" applyFont="1" applyFill="1" applyAlignment="1">
      <alignment vertical="center"/>
    </xf>
    <xf numFmtId="1" fontId="7" fillId="0" borderId="0" xfId="0" applyNumberFormat="1" applyFont="1" applyFill="1" applyAlignment="1">
      <alignment horizontal="center"/>
    </xf>
    <xf numFmtId="0" fontId="0" fillId="0" borderId="0" xfId="0" applyFill="1" applyAlignment="1" applyProtection="1">
      <alignment horizontal="center" vertical="center" wrapText="1"/>
      <protection locked="0"/>
    </xf>
    <xf numFmtId="0" fontId="26" fillId="5" borderId="2" xfId="2" applyFont="1" applyFill="1" applyBorder="1" applyAlignment="1" applyProtection="1">
      <alignment horizontal="center" vertical="center"/>
    </xf>
    <xf numFmtId="0" fontId="0" fillId="5" borderId="0" xfId="0" applyFill="1"/>
    <xf numFmtId="1" fontId="7" fillId="6" borderId="0" xfId="0" applyNumberFormat="1" applyFont="1" applyFill="1" applyAlignment="1">
      <alignment horizontal="center"/>
    </xf>
    <xf numFmtId="1" fontId="0" fillId="6" borderId="0" xfId="0" applyNumberFormat="1" applyFill="1" applyAlignment="1">
      <alignment horizontal="center"/>
    </xf>
    <xf numFmtId="0" fontId="31" fillId="0" borderId="0" xfId="0" applyFont="1"/>
    <xf numFmtId="0" fontId="59" fillId="0" borderId="0" xfId="0" applyFont="1" applyFill="1"/>
    <xf numFmtId="0" fontId="24" fillId="0" borderId="0" xfId="0" applyFont="1" applyFill="1"/>
    <xf numFmtId="0" fontId="5" fillId="0" borderId="0" xfId="0" applyFont="1" applyFill="1" applyAlignment="1">
      <alignment horizontal="left"/>
    </xf>
    <xf numFmtId="0" fontId="5" fillId="0" borderId="0" xfId="0" applyFont="1" applyFill="1"/>
    <xf numFmtId="1" fontId="6" fillId="0" borderId="0" xfId="0" applyNumberFormat="1" applyFont="1" applyFill="1"/>
    <xf numFmtId="0" fontId="6" fillId="0" borderId="0" xfId="0" applyFont="1" applyFill="1" applyAlignment="1">
      <alignment horizontal="center" wrapText="1"/>
    </xf>
    <xf numFmtId="1" fontId="58" fillId="0" borderId="0" xfId="0" applyNumberFormat="1" applyFont="1" applyFill="1" applyAlignment="1">
      <alignment horizontal="center"/>
    </xf>
    <xf numFmtId="0" fontId="5" fillId="0" borderId="0" xfId="0" applyFont="1" applyFill="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center" vertical="center"/>
    </xf>
    <xf numFmtId="3" fontId="5" fillId="0" borderId="4" xfId="0" applyNumberFormat="1" applyFont="1" applyFill="1" applyBorder="1" applyAlignment="1">
      <alignment horizontal="center" vertical="center"/>
    </xf>
    <xf numFmtId="0" fontId="32" fillId="0" borderId="0" xfId="0" applyFont="1" applyFill="1" applyAlignment="1">
      <alignment horizontal="left"/>
    </xf>
    <xf numFmtId="0" fontId="32" fillId="0" borderId="0" xfId="0" applyFont="1" applyFill="1" applyAlignment="1">
      <alignment horizontal="center"/>
    </xf>
    <xf numFmtId="0" fontId="0" fillId="7" borderId="0" xfId="0" applyFill="1"/>
    <xf numFmtId="0" fontId="0" fillId="8" borderId="0" xfId="0" applyFill="1"/>
    <xf numFmtId="0" fontId="60" fillId="7" borderId="0" xfId="0" applyFont="1" applyFill="1"/>
    <xf numFmtId="0" fontId="17" fillId="0" borderId="0" xfId="0" applyFont="1" applyAlignment="1">
      <alignment horizontal="center" wrapText="1"/>
    </xf>
    <xf numFmtId="0" fontId="61" fillId="7" borderId="0" xfId="0" applyFont="1" applyFill="1"/>
    <xf numFmtId="0" fontId="0" fillId="0" borderId="0" xfId="0" applyAlignment="1" applyProtection="1">
      <alignment horizontal="center"/>
    </xf>
    <xf numFmtId="0" fontId="49" fillId="0" borderId="0" xfId="0" applyFont="1" applyFill="1" applyBorder="1" applyProtection="1"/>
    <xf numFmtId="0" fontId="0" fillId="0" borderId="0" xfId="0" applyProtection="1"/>
    <xf numFmtId="0" fontId="7" fillId="0" borderId="0" xfId="0" applyFont="1" applyAlignment="1" applyProtection="1">
      <alignment horizontal="right"/>
    </xf>
    <xf numFmtId="0" fontId="13" fillId="0" borderId="0" xfId="0" applyFont="1" applyProtection="1"/>
    <xf numFmtId="0" fontId="13" fillId="0" borderId="0" xfId="0" applyFont="1" applyAlignment="1" applyProtection="1">
      <alignment horizontal="center"/>
    </xf>
    <xf numFmtId="0" fontId="0" fillId="0" borderId="0" xfId="0" applyAlignment="1" applyProtection="1">
      <alignment horizontal="right"/>
    </xf>
    <xf numFmtId="0" fontId="13" fillId="0" borderId="0" xfId="0" applyFont="1" applyAlignment="1" applyProtection="1">
      <alignment horizontal="right"/>
    </xf>
    <xf numFmtId="165" fontId="0" fillId="0" borderId="0" xfId="1" applyNumberFormat="1" applyFont="1" applyAlignment="1" applyProtection="1">
      <alignment horizontal="center"/>
    </xf>
    <xf numFmtId="0" fontId="0" fillId="0" borderId="0" xfId="0" applyFill="1" applyAlignment="1" applyProtection="1">
      <alignment horizontal="center"/>
    </xf>
    <xf numFmtId="0" fontId="5" fillId="0" borderId="0" xfId="0" applyFont="1" applyAlignment="1" applyProtection="1">
      <alignment horizontal="center"/>
    </xf>
    <xf numFmtId="0" fontId="7" fillId="0" borderId="0" xfId="0" applyFont="1" applyBorder="1" applyAlignment="1" applyProtection="1">
      <alignment horizontal="left"/>
    </xf>
    <xf numFmtId="0" fontId="9" fillId="0" borderId="0" xfId="1" applyNumberFormat="1" applyFont="1" applyFill="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right"/>
    </xf>
    <xf numFmtId="1" fontId="5" fillId="0" borderId="0" xfId="0" applyNumberFormat="1" applyFont="1" applyFill="1" applyBorder="1" applyAlignment="1" applyProtection="1">
      <alignment horizontal="center"/>
    </xf>
    <xf numFmtId="0" fontId="7" fillId="0" borderId="0" xfId="0" applyFont="1" applyBorder="1" applyAlignment="1" applyProtection="1">
      <alignment horizontal="center"/>
    </xf>
    <xf numFmtId="0" fontId="0" fillId="0" borderId="0" xfId="0" applyAlignment="1" applyProtection="1">
      <alignment horizontal="left"/>
    </xf>
    <xf numFmtId="1" fontId="49" fillId="0" borderId="0" xfId="0" applyNumberFormat="1" applyFont="1" applyFill="1" applyBorder="1" applyProtection="1"/>
    <xf numFmtId="0" fontId="5" fillId="0" borderId="0" xfId="0" applyFont="1" applyBorder="1" applyAlignment="1" applyProtection="1">
      <alignment horizontal="center"/>
    </xf>
    <xf numFmtId="165" fontId="0" fillId="0" borderId="5" xfId="1" applyNumberFormat="1" applyFont="1" applyBorder="1" applyAlignment="1" applyProtection="1">
      <alignment horizontal="center"/>
    </xf>
    <xf numFmtId="0" fontId="0" fillId="0" borderId="0" xfId="0" applyFill="1" applyAlignment="1" applyProtection="1">
      <alignment horizontal="right"/>
    </xf>
    <xf numFmtId="0" fontId="12" fillId="0" borderId="0" xfId="0" applyFont="1" applyFill="1" applyBorder="1" applyAlignment="1" applyProtection="1">
      <alignment horizontal="center" vertical="center"/>
    </xf>
    <xf numFmtId="0" fontId="0" fillId="6" borderId="0" xfId="0" applyFill="1" applyAlignment="1">
      <alignment horizontal="center"/>
    </xf>
    <xf numFmtId="0" fontId="13" fillId="0" borderId="0" xfId="0" applyFont="1" applyFill="1" applyAlignment="1" applyProtection="1">
      <alignment horizontal="center"/>
    </xf>
    <xf numFmtId="0" fontId="33" fillId="0" borderId="0" xfId="0" applyFont="1"/>
    <xf numFmtId="0" fontId="33" fillId="0" borderId="0" xfId="0" applyFont="1" applyFill="1" applyBorder="1" applyAlignment="1">
      <alignment horizontal="center" vertical="center"/>
    </xf>
    <xf numFmtId="0" fontId="33" fillId="0" borderId="0" xfId="0" applyFont="1" applyBorder="1"/>
    <xf numFmtId="0" fontId="31" fillId="0" borderId="0" xfId="0" applyFont="1" applyBorder="1" applyAlignment="1"/>
    <xf numFmtId="0" fontId="0" fillId="0" borderId="0" xfId="0" applyBorder="1" applyAlignment="1"/>
    <xf numFmtId="0" fontId="5" fillId="0" borderId="0" xfId="0" applyFont="1" applyFill="1" applyAlignment="1">
      <alignment horizontal="center" vertical="center"/>
    </xf>
    <xf numFmtId="0" fontId="22" fillId="0" borderId="0" xfId="0" applyFont="1" applyFill="1" applyAlignment="1">
      <alignment horizontal="center"/>
    </xf>
    <xf numFmtId="0" fontId="17" fillId="0" borderId="0" xfId="0" applyFont="1" applyBorder="1" applyAlignment="1">
      <alignment horizontal="center" wrapText="1"/>
    </xf>
    <xf numFmtId="3" fontId="7" fillId="0" borderId="0" xfId="0" applyNumberFormat="1" applyFont="1" applyFill="1" applyAlignment="1">
      <alignment horizontal="center"/>
    </xf>
    <xf numFmtId="0" fontId="25" fillId="0" borderId="0" xfId="0" applyFont="1" applyFill="1" applyAlignment="1">
      <alignment horizontal="right"/>
    </xf>
    <xf numFmtId="0" fontId="17" fillId="0" borderId="0" xfId="0" applyFont="1" applyFill="1" applyAlignment="1">
      <alignment horizontal="right" textRotation="90" wrapText="1"/>
    </xf>
    <xf numFmtId="0" fontId="4" fillId="0" borderId="0" xfId="0" applyFont="1" applyFill="1" applyAlignment="1">
      <alignment horizontal="left"/>
    </xf>
    <xf numFmtId="0" fontId="13" fillId="0" borderId="0" xfId="0" applyFont="1" applyFill="1" applyAlignment="1">
      <alignment horizontal="left"/>
    </xf>
    <xf numFmtId="0" fontId="0" fillId="0" borderId="0" xfId="0" applyFill="1" applyAlignment="1"/>
    <xf numFmtId="49" fontId="25" fillId="0" borderId="0" xfId="0" applyNumberFormat="1" applyFont="1" applyAlignment="1"/>
    <xf numFmtId="0" fontId="0" fillId="3" borderId="0" xfId="0" applyFill="1" applyAlignment="1">
      <alignment horizontal="right" vertical="center"/>
    </xf>
    <xf numFmtId="0" fontId="17" fillId="3" borderId="0" xfId="0" applyFont="1" applyFill="1" applyAlignment="1">
      <alignment vertical="center"/>
    </xf>
    <xf numFmtId="3" fontId="13" fillId="0" borderId="0" xfId="0" applyNumberFormat="1" applyFont="1" applyFill="1" applyAlignment="1" applyProtection="1">
      <alignment horizontal="center"/>
    </xf>
    <xf numFmtId="0" fontId="20" fillId="0" borderId="0" xfId="0" applyFont="1" applyAlignment="1">
      <alignment horizontal="left"/>
    </xf>
    <xf numFmtId="0" fontId="0" fillId="0" borderId="0" xfId="0" applyAlignment="1">
      <alignment horizontal="center" vertical="top"/>
    </xf>
    <xf numFmtId="49" fontId="31" fillId="0" borderId="0" xfId="0" applyNumberFormat="1" applyFont="1" applyFill="1" applyAlignment="1">
      <alignment horizontal="left"/>
    </xf>
    <xf numFmtId="0" fontId="13" fillId="0" borderId="0" xfId="0" applyFont="1" applyAlignment="1" applyProtection="1">
      <alignment horizontal="left"/>
    </xf>
    <xf numFmtId="0" fontId="17" fillId="0" borderId="0" xfId="0" applyFont="1" applyBorder="1" applyAlignment="1">
      <alignment horizontal="center"/>
    </xf>
    <xf numFmtId="0" fontId="33" fillId="0" borderId="0" xfId="0" applyFont="1" applyAlignment="1">
      <alignment horizontal="center"/>
    </xf>
    <xf numFmtId="0" fontId="48" fillId="0" borderId="0" xfId="0" applyFont="1"/>
    <xf numFmtId="0" fontId="48" fillId="0" borderId="0" xfId="0" applyFont="1" applyAlignment="1">
      <alignment horizontal="center"/>
    </xf>
    <xf numFmtId="0" fontId="33" fillId="0" borderId="0" xfId="0" applyFont="1" applyFill="1" applyAlignment="1">
      <alignment horizontal="center"/>
    </xf>
    <xf numFmtId="0" fontId="33" fillId="0" borderId="0" xfId="0" applyFont="1" applyFill="1"/>
    <xf numFmtId="0" fontId="51" fillId="0" borderId="0" xfId="0" applyFont="1" applyAlignment="1" applyProtection="1">
      <alignment horizontal="center" vertical="center" wrapText="1"/>
    </xf>
    <xf numFmtId="1" fontId="33" fillId="0" borderId="0" xfId="0" applyNumberFormat="1" applyFont="1"/>
    <xf numFmtId="0" fontId="41" fillId="0" borderId="0" xfId="0" applyFont="1"/>
    <xf numFmtId="1" fontId="41" fillId="0" borderId="0" xfId="0" applyNumberFormat="1" applyFont="1"/>
    <xf numFmtId="0" fontId="41" fillId="0" borderId="0" xfId="0" applyFont="1" applyAlignment="1">
      <alignment horizontal="center"/>
    </xf>
    <xf numFmtId="165" fontId="54" fillId="0" borderId="0" xfId="1" applyNumberFormat="1" applyFont="1" applyAlignment="1" applyProtection="1">
      <alignment horizontal="right" vertical="center"/>
    </xf>
    <xf numFmtId="0" fontId="26" fillId="0" borderId="0" xfId="0" applyFont="1" applyAlignment="1">
      <alignment vertical="center"/>
    </xf>
    <xf numFmtId="0" fontId="51" fillId="0" borderId="0" xfId="0" applyFont="1" applyAlignment="1">
      <alignment vertical="center"/>
    </xf>
    <xf numFmtId="1" fontId="51" fillId="0" borderId="0" xfId="0" applyNumberFormat="1" applyFont="1" applyAlignment="1">
      <alignment vertical="center"/>
    </xf>
    <xf numFmtId="0" fontId="51" fillId="0" borderId="0" xfId="0" applyFont="1" applyAlignment="1">
      <alignment horizontal="center" vertical="center"/>
    </xf>
    <xf numFmtId="166" fontId="17" fillId="0" borderId="0" xfId="1" applyNumberFormat="1" applyFont="1" applyFill="1" applyBorder="1" applyAlignment="1">
      <alignment horizontal="center"/>
    </xf>
    <xf numFmtId="0" fontId="6" fillId="0" borderId="0" xfId="0" applyFont="1" applyFill="1" applyAlignment="1">
      <alignment horizontal="right"/>
    </xf>
    <xf numFmtId="0" fontId="17" fillId="0" borderId="0" xfId="0" applyFont="1" applyFill="1" applyAlignment="1">
      <alignment horizontal="right"/>
    </xf>
    <xf numFmtId="0" fontId="67" fillId="0" borderId="1" xfId="8" applyFont="1" applyBorder="1" applyAlignment="1">
      <alignment horizontal="left"/>
    </xf>
    <xf numFmtId="0" fontId="68" fillId="0" borderId="0" xfId="8" applyFont="1" applyBorder="1" applyAlignment="1">
      <alignment horizontal="left"/>
    </xf>
    <xf numFmtId="0" fontId="69" fillId="0" borderId="0" xfId="7" applyFont="1"/>
    <xf numFmtId="0" fontId="7" fillId="0" borderId="0" xfId="8" applyFont="1" applyBorder="1"/>
    <xf numFmtId="0" fontId="39" fillId="0" borderId="0" xfId="8" applyFont="1" applyBorder="1" applyAlignment="1">
      <alignment horizontal="right"/>
    </xf>
    <xf numFmtId="0" fontId="9" fillId="0" borderId="0" xfId="8" applyFont="1" applyBorder="1"/>
    <xf numFmtId="0" fontId="71" fillId="0" borderId="1" xfId="8" applyFont="1" applyBorder="1" applyAlignment="1"/>
    <xf numFmtId="0" fontId="69" fillId="0" borderId="1" xfId="7" applyFont="1" applyBorder="1"/>
    <xf numFmtId="0" fontId="7" fillId="0" borderId="1" xfId="8" applyFont="1" applyBorder="1"/>
    <xf numFmtId="0" fontId="13" fillId="0" borderId="1" xfId="8" applyFont="1" applyBorder="1" applyAlignment="1">
      <alignment horizontal="right"/>
    </xf>
    <xf numFmtId="0" fontId="9" fillId="0" borderId="1" xfId="8" applyFont="1" applyBorder="1"/>
    <xf numFmtId="0" fontId="0" fillId="0" borderId="1" xfId="0" applyBorder="1" applyAlignment="1" applyProtection="1">
      <alignment horizontal="center"/>
    </xf>
    <xf numFmtId="0" fontId="72" fillId="0" borderId="0" xfId="8" applyFont="1" applyBorder="1" applyAlignment="1">
      <alignment horizontal="left"/>
    </xf>
    <xf numFmtId="0" fontId="71" fillId="0" borderId="0" xfId="8" applyFont="1" applyBorder="1"/>
    <xf numFmtId="0" fontId="71" fillId="0" borderId="0" xfId="8" applyFont="1" applyBorder="1" applyAlignment="1"/>
    <xf numFmtId="0" fontId="69" fillId="0" borderId="0" xfId="7" applyFont="1" applyBorder="1"/>
    <xf numFmtId="0" fontId="7" fillId="0" borderId="0" xfId="8" applyFont="1"/>
    <xf numFmtId="0" fontId="5" fillId="0" borderId="0" xfId="8" applyFont="1" applyAlignment="1">
      <alignment horizontal="left"/>
    </xf>
    <xf numFmtId="0" fontId="9" fillId="0" borderId="0" xfId="7" applyFont="1" applyFill="1" applyAlignment="1" applyProtection="1">
      <alignment horizontal="center"/>
      <protection locked="0"/>
    </xf>
    <xf numFmtId="165" fontId="4" fillId="0" borderId="0" xfId="1" applyNumberFormat="1" applyFont="1" applyFill="1" applyAlignment="1" applyProtection="1">
      <alignment horizontal="left" vertical="top"/>
      <protection locked="0"/>
    </xf>
    <xf numFmtId="0" fontId="0" fillId="0" borderId="0" xfId="0" applyAlignment="1" applyProtection="1">
      <alignment vertical="center"/>
    </xf>
    <xf numFmtId="0" fontId="5" fillId="0" borderId="0" xfId="0" applyFont="1" applyAlignment="1">
      <alignment horizontal="right" wrapText="1"/>
    </xf>
    <xf numFmtId="0" fontId="0" fillId="0" borderId="0" xfId="0" applyAlignment="1" applyProtection="1">
      <alignment horizontal="center" vertical="center"/>
    </xf>
    <xf numFmtId="0" fontId="0" fillId="0" borderId="0" xfId="0" applyAlignment="1" applyProtection="1">
      <alignment horizontal="left" vertical="center"/>
    </xf>
    <xf numFmtId="0" fontId="49" fillId="0" borderId="0" xfId="0" applyFont="1" applyFill="1" applyBorder="1" applyAlignment="1" applyProtection="1">
      <alignment vertical="center"/>
    </xf>
    <xf numFmtId="0" fontId="0" fillId="0" borderId="0" xfId="0" applyAlignment="1" applyProtection="1">
      <alignment horizontal="right" vertical="center"/>
    </xf>
    <xf numFmtId="0" fontId="39" fillId="0" borderId="1" xfId="8" applyFont="1" applyBorder="1" applyAlignment="1">
      <alignment horizontal="right"/>
    </xf>
    <xf numFmtId="0" fontId="73" fillId="0" borderId="0" xfId="8" applyFont="1" applyBorder="1" applyAlignment="1">
      <alignment horizontal="left"/>
    </xf>
    <xf numFmtId="165" fontId="4" fillId="0" borderId="0" xfId="1" applyNumberFormat="1" applyFont="1" applyFill="1" applyAlignment="1" applyProtection="1">
      <alignment horizontal="left" vertical="center"/>
      <protection locked="0"/>
    </xf>
    <xf numFmtId="165" fontId="4" fillId="0" borderId="0" xfId="1" applyNumberFormat="1" applyFont="1" applyFill="1" applyBorder="1" applyAlignment="1" applyProtection="1">
      <alignment horizontal="left" vertical="center"/>
      <protection locked="0"/>
    </xf>
    <xf numFmtId="165" fontId="4" fillId="0" borderId="0" xfId="1" applyNumberFormat="1" applyFont="1" applyFill="1" applyBorder="1" applyAlignment="1" applyProtection="1">
      <alignment horizontal="left" vertical="top"/>
      <protection locked="0"/>
    </xf>
    <xf numFmtId="0" fontId="0" fillId="0" borderId="0" xfId="0" applyFill="1" applyBorder="1" applyAlignment="1" applyProtection="1">
      <alignment horizontal="center"/>
    </xf>
    <xf numFmtId="0" fontId="7" fillId="0" borderId="0" xfId="8" applyFont="1" applyFill="1" applyBorder="1"/>
    <xf numFmtId="0" fontId="13" fillId="0" borderId="0" xfId="8" applyFont="1" applyFill="1" applyBorder="1" applyAlignment="1">
      <alignment horizontal="right"/>
    </xf>
    <xf numFmtId="0" fontId="0" fillId="0" borderId="0" xfId="0" applyFill="1" applyBorder="1" applyProtection="1"/>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xf>
    <xf numFmtId="0" fontId="69" fillId="0" borderId="0" xfId="7" applyFont="1" applyFill="1" applyBorder="1"/>
    <xf numFmtId="0" fontId="9" fillId="0" borderId="0" xfId="8" applyFont="1" applyAlignment="1">
      <alignment horizontal="right" vertical="center"/>
    </xf>
    <xf numFmtId="0" fontId="4" fillId="0" borderId="0" xfId="1" applyNumberFormat="1" applyFont="1" applyFill="1" applyAlignment="1" applyProtection="1">
      <alignment horizontal="center"/>
      <protection locked="0"/>
    </xf>
    <xf numFmtId="0" fontId="9" fillId="0" borderId="0" xfId="0" applyFont="1" applyAlignment="1">
      <alignment vertical="center"/>
    </xf>
    <xf numFmtId="0" fontId="7" fillId="0" borderId="0" xfId="0" applyFont="1" applyAlignment="1">
      <alignment horizontal="right" vertical="center"/>
    </xf>
    <xf numFmtId="0" fontId="0" fillId="0" borderId="0" xfId="0" applyAlignment="1">
      <alignment horizontal="right" vertical="center"/>
    </xf>
    <xf numFmtId="0" fontId="11" fillId="0" borderId="0" xfId="0" applyFont="1" applyAlignment="1">
      <alignment horizontal="right" wrapText="1"/>
    </xf>
    <xf numFmtId="0" fontId="74" fillId="0" borderId="0" xfId="0" applyFont="1" applyProtection="1"/>
    <xf numFmtId="0" fontId="74" fillId="0" borderId="0" xfId="0" applyFont="1" applyAlignment="1" applyProtection="1">
      <alignment horizontal="left"/>
    </xf>
    <xf numFmtId="0" fontId="74" fillId="0" borderId="0" xfId="0" applyFont="1" applyAlignment="1" applyProtection="1">
      <alignment horizontal="center"/>
    </xf>
    <xf numFmtId="0" fontId="74" fillId="4" borderId="0" xfId="0" applyFont="1" applyFill="1" applyAlignment="1" applyProtection="1">
      <alignment horizontal="center"/>
    </xf>
    <xf numFmtId="0" fontId="75" fillId="4" borderId="0" xfId="0" applyFont="1" applyFill="1" applyBorder="1" applyAlignment="1" applyProtection="1">
      <alignment horizontal="center" vertical="center"/>
    </xf>
    <xf numFmtId="0" fontId="75" fillId="0" borderId="0" xfId="0" applyFont="1" applyFill="1" applyBorder="1" applyAlignment="1" applyProtection="1">
      <alignment horizontal="center" vertical="center"/>
    </xf>
    <xf numFmtId="0" fontId="74" fillId="0" borderId="0" xfId="0" applyFont="1" applyFill="1" applyBorder="1" applyProtection="1"/>
    <xf numFmtId="0" fontId="74" fillId="0" borderId="0" xfId="0" applyFont="1" applyAlignment="1" applyProtection="1">
      <alignment horizontal="right"/>
    </xf>
    <xf numFmtId="0" fontId="78" fillId="0" borderId="0" xfId="0" applyFont="1" applyAlignment="1" applyProtection="1">
      <alignment horizontal="center"/>
    </xf>
    <xf numFmtId="0" fontId="79" fillId="0" borderId="0" xfId="0" applyFont="1" applyFill="1" applyBorder="1" applyAlignment="1" applyProtection="1">
      <alignment horizontal="center"/>
    </xf>
    <xf numFmtId="0" fontId="79" fillId="0" borderId="0" xfId="0" applyFont="1" applyFill="1" applyBorder="1" applyAlignment="1" applyProtection="1">
      <alignment horizontal="center" vertical="center"/>
    </xf>
    <xf numFmtId="0" fontId="4" fillId="0" borderId="0" xfId="1" applyNumberFormat="1" applyFont="1" applyFill="1" applyAlignment="1" applyProtection="1">
      <alignment horizontal="right"/>
      <protection locked="0"/>
    </xf>
    <xf numFmtId="1" fontId="11" fillId="0" borderId="0" xfId="0" applyNumberFormat="1" applyFont="1"/>
    <xf numFmtId="0" fontId="11" fillId="0" borderId="0" xfId="0" applyFont="1" applyAlignment="1">
      <alignment horizontal="left"/>
    </xf>
    <xf numFmtId="0" fontId="9" fillId="0" borderId="0" xfId="0" applyFont="1" applyAlignment="1">
      <alignment horizontal="right" vertical="center"/>
    </xf>
    <xf numFmtId="0" fontId="4" fillId="0" borderId="0" xfId="0" applyFont="1" applyAlignment="1" applyProtection="1">
      <alignment horizontal="right" vertical="center"/>
    </xf>
    <xf numFmtId="0" fontId="4" fillId="0" borderId="0" xfId="8" applyFont="1" applyAlignment="1">
      <alignment horizontal="right" vertical="center"/>
    </xf>
    <xf numFmtId="0" fontId="4" fillId="0" borderId="0" xfId="0" applyFont="1" applyFill="1" applyAlignment="1" applyProtection="1">
      <alignment vertical="center"/>
    </xf>
    <xf numFmtId="0" fontId="11" fillId="0" borderId="0" xfId="0" applyFont="1" applyProtection="1"/>
    <xf numFmtId="0" fontId="11" fillId="0" borderId="0" xfId="0" applyFont="1" applyAlignment="1" applyProtection="1">
      <alignment horizont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Alignment="1"/>
    <xf numFmtId="0" fontId="11" fillId="0" borderId="0" xfId="0" applyFont="1" applyAlignment="1">
      <alignment vertical="center"/>
    </xf>
    <xf numFmtId="0" fontId="11" fillId="0" borderId="0" xfId="0" applyFont="1" applyBorder="1"/>
    <xf numFmtId="0" fontId="8" fillId="0" borderId="0" xfId="0" applyFont="1" applyBorder="1"/>
    <xf numFmtId="0" fontId="22" fillId="0" borderId="0" xfId="0" applyFont="1" applyFill="1"/>
    <xf numFmtId="171" fontId="31" fillId="4" borderId="0" xfId="1" applyNumberFormat="1" applyFont="1" applyFill="1" applyAlignment="1">
      <alignment horizontal="right" vertical="center"/>
    </xf>
    <xf numFmtId="0" fontId="18" fillId="0" borderId="0" xfId="2" applyFill="1" applyBorder="1" applyAlignment="1" applyProtection="1">
      <alignment horizontal="left" vertical="center" wrapText="1"/>
    </xf>
    <xf numFmtId="0" fontId="51" fillId="4" borderId="0" xfId="0" applyFont="1" applyFill="1" applyBorder="1" applyAlignment="1" applyProtection="1">
      <alignment horizontal="center" vertical="center" wrapText="1"/>
    </xf>
    <xf numFmtId="171" fontId="31" fillId="0" borderId="0" xfId="1" applyNumberFormat="1" applyFont="1" applyFill="1" applyAlignment="1">
      <alignment horizontal="right" vertical="center"/>
    </xf>
    <xf numFmtId="171" fontId="31" fillId="0" borderId="0" xfId="1" applyNumberFormat="1" applyFont="1" applyFill="1" applyAlignment="1">
      <alignment horizontal="left" vertical="center"/>
    </xf>
    <xf numFmtId="0" fontId="82" fillId="0" borderId="0" xfId="0" applyFont="1" applyFill="1"/>
    <xf numFmtId="165" fontId="54" fillId="0" borderId="0" xfId="1" applyNumberFormat="1" applyFont="1" applyFill="1" applyAlignment="1" applyProtection="1">
      <alignment horizontal="center"/>
    </xf>
    <xf numFmtId="165" fontId="54" fillId="0" borderId="0" xfId="1" applyNumberFormat="1" applyFont="1" applyAlignment="1" applyProtection="1">
      <alignment horizontal="center"/>
    </xf>
    <xf numFmtId="171" fontId="51" fillId="4" borderId="0" xfId="1" applyNumberFormat="1" applyFont="1" applyFill="1" applyAlignment="1">
      <alignment horizontal="right" vertical="center"/>
    </xf>
    <xf numFmtId="171" fontId="51" fillId="0" borderId="0" xfId="1" applyNumberFormat="1" applyFont="1" applyFill="1" applyAlignment="1">
      <alignment horizontal="right" vertical="center"/>
    </xf>
    <xf numFmtId="171" fontId="51" fillId="0" borderId="0" xfId="1" applyNumberFormat="1" applyFont="1" applyFill="1" applyAlignment="1">
      <alignment horizontal="left" vertical="center"/>
    </xf>
    <xf numFmtId="1" fontId="29" fillId="2" borderId="0" xfId="0" applyNumberFormat="1" applyFont="1" applyFill="1" applyBorder="1" applyAlignment="1" applyProtection="1">
      <alignment horizontal="center"/>
      <protection locked="0"/>
    </xf>
    <xf numFmtId="0" fontId="74" fillId="0" borderId="0" xfId="0" applyFont="1" applyFill="1" applyProtection="1"/>
    <xf numFmtId="1" fontId="7" fillId="0" borderId="0" xfId="0" quotePrefix="1" applyNumberFormat="1" applyFont="1" applyFill="1" applyAlignment="1">
      <alignment horizontal="center"/>
    </xf>
    <xf numFmtId="0" fontId="0" fillId="0" borderId="0" xfId="0" applyAlignment="1">
      <alignment horizontal="left" vertical="center"/>
    </xf>
    <xf numFmtId="168" fontId="0" fillId="0" borderId="0" xfId="0" applyNumberFormat="1" applyFill="1" applyBorder="1" applyAlignment="1">
      <alignment horizontal="center" vertical="center"/>
    </xf>
    <xf numFmtId="0" fontId="0" fillId="0" borderId="0" xfId="0" applyFill="1" applyProtection="1">
      <protection locked="0"/>
    </xf>
    <xf numFmtId="0" fontId="0" fillId="0" borderId="6" xfId="0" applyBorder="1" applyAlignment="1" applyProtection="1">
      <alignment horizontal="right"/>
    </xf>
    <xf numFmtId="0" fontId="4" fillId="0" borderId="0" xfId="0" applyFont="1" applyAlignment="1" applyProtection="1">
      <alignment horizontal="left" vertical="center"/>
    </xf>
    <xf numFmtId="0" fontId="13" fillId="0" borderId="0" xfId="1" applyNumberFormat="1" applyFont="1" applyFill="1" applyAlignment="1" applyProtection="1">
      <alignment horizontal="right" vertical="center"/>
    </xf>
    <xf numFmtId="0" fontId="7" fillId="0" borderId="0" xfId="0" applyFont="1" applyFill="1" applyAlignment="1" applyProtection="1">
      <alignment horizontal="right"/>
    </xf>
    <xf numFmtId="165" fontId="13" fillId="0" borderId="0" xfId="1" applyNumberFormat="1" applyFont="1" applyFill="1" applyAlignment="1" applyProtection="1">
      <alignment horizontal="right" vertical="center"/>
    </xf>
    <xf numFmtId="165" fontId="4" fillId="5" borderId="2" xfId="1" applyNumberFormat="1" applyFont="1" applyFill="1" applyBorder="1" applyAlignment="1" applyProtection="1">
      <alignment horizontal="center" vertical="center"/>
      <protection locked="0"/>
    </xf>
    <xf numFmtId="0" fontId="7" fillId="0" borderId="0" xfId="7" applyFont="1" applyFill="1" applyAlignment="1">
      <alignment horizontal="right"/>
    </xf>
    <xf numFmtId="0" fontId="7" fillId="0" borderId="0" xfId="0" applyFont="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31" fillId="0" borderId="0" xfId="0" applyFont="1" applyProtection="1"/>
    <xf numFmtId="0" fontId="87" fillId="0" borderId="0" xfId="2" applyFont="1" applyBorder="1" applyAlignment="1" applyProtection="1">
      <alignment horizontal="center" wrapText="1"/>
    </xf>
    <xf numFmtId="0" fontId="17" fillId="0" borderId="0" xfId="0" applyFont="1" applyBorder="1" applyAlignment="1"/>
    <xf numFmtId="0" fontId="17" fillId="0" borderId="0" xfId="0" applyFont="1" applyBorder="1" applyAlignment="1">
      <alignment horizontal="right"/>
    </xf>
    <xf numFmtId="0" fontId="17" fillId="0" borderId="0" xfId="0" applyFont="1" applyBorder="1" applyAlignment="1">
      <alignment horizontal="left"/>
    </xf>
    <xf numFmtId="0" fontId="34" fillId="0" borderId="0" xfId="0" applyFont="1" applyAlignment="1">
      <alignment horizontal="right"/>
    </xf>
    <xf numFmtId="0" fontId="11" fillId="0" borderId="0" xfId="0" applyFont="1" applyFill="1" applyBorder="1" applyAlignment="1" applyProtection="1">
      <alignment horizontal="center"/>
    </xf>
    <xf numFmtId="0" fontId="89" fillId="0" borderId="0" xfId="0" applyFont="1" applyFill="1" applyBorder="1" applyAlignment="1" applyProtection="1">
      <alignment horizontal="center" vertical="center"/>
    </xf>
    <xf numFmtId="165" fontId="11" fillId="0" borderId="0" xfId="1" applyNumberFormat="1" applyFont="1" applyFill="1" applyBorder="1" applyAlignment="1" applyProtection="1">
      <alignment horizontal="center"/>
    </xf>
    <xf numFmtId="165" fontId="11" fillId="0" borderId="0" xfId="1" applyNumberFormat="1" applyFont="1" applyFill="1" applyAlignment="1" applyProtection="1">
      <alignment horizontal="center"/>
    </xf>
    <xf numFmtId="0" fontId="33" fillId="0" borderId="0" xfId="0" applyFont="1" applyFill="1" applyBorder="1" applyProtection="1"/>
    <xf numFmtId="0" fontId="33" fillId="0" borderId="0" xfId="0" applyFont="1" applyFill="1" applyBorder="1" applyAlignment="1" applyProtection="1">
      <alignment vertical="center"/>
    </xf>
    <xf numFmtId="1" fontId="33" fillId="0" borderId="0" xfId="0" applyNumberFormat="1" applyFont="1" applyFill="1" applyBorder="1" applyProtection="1"/>
    <xf numFmtId="1" fontId="90" fillId="4" borderId="0" xfId="0" applyNumberFormat="1" applyFont="1" applyFill="1" applyBorder="1" applyAlignment="1" applyProtection="1">
      <alignment horizontal="center" wrapText="1"/>
    </xf>
    <xf numFmtId="1" fontId="0" fillId="0" borderId="0" xfId="0" applyNumberFormat="1" applyAlignment="1" applyProtection="1">
      <alignment horizontal="center"/>
    </xf>
    <xf numFmtId="0" fontId="7" fillId="0" borderId="0" xfId="0" applyFont="1" applyAlignment="1">
      <alignment horizontal="left" vertical="center"/>
    </xf>
    <xf numFmtId="2" fontId="31" fillId="0" borderId="2" xfId="0" applyNumberFormat="1" applyFont="1" applyFill="1" applyBorder="1" applyAlignment="1">
      <alignment horizontal="center" vertical="center"/>
    </xf>
    <xf numFmtId="0" fontId="94" fillId="0" borderId="0" xfId="0" applyFont="1" applyFill="1"/>
    <xf numFmtId="0" fontId="28" fillId="0" borderId="0" xfId="0" applyFont="1" applyFill="1" applyAlignment="1">
      <alignment vertical="center" wrapText="1"/>
    </xf>
    <xf numFmtId="0" fontId="79" fillId="0" borderId="0" xfId="0" applyFont="1" applyFill="1" applyAlignment="1" applyProtection="1">
      <alignment horizontal="center"/>
    </xf>
    <xf numFmtId="0" fontId="79" fillId="0" borderId="0" xfId="0" applyFont="1" applyFill="1" applyAlignment="1" applyProtection="1">
      <alignment horizontal="center" vertical="center"/>
    </xf>
    <xf numFmtId="0" fontId="78" fillId="0" borderId="0" xfId="0" applyFont="1" applyFill="1" applyAlignment="1" applyProtection="1">
      <alignment horizontal="center"/>
    </xf>
    <xf numFmtId="0" fontId="78" fillId="0" borderId="0" xfId="0" applyFont="1" applyFill="1" applyAlignment="1" applyProtection="1">
      <alignment horizontal="right"/>
    </xf>
    <xf numFmtId="0" fontId="77" fillId="0" borderId="0" xfId="0" applyFont="1" applyFill="1" applyAlignment="1" applyProtection="1">
      <alignment horizontal="center"/>
    </xf>
    <xf numFmtId="0" fontId="80" fillId="0" borderId="0" xfId="0" applyFont="1" applyFill="1" applyAlignment="1" applyProtection="1">
      <alignment horizontal="center"/>
    </xf>
    <xf numFmtId="0" fontId="74" fillId="0" borderId="0" xfId="0" applyFont="1" applyFill="1" applyAlignment="1" applyProtection="1">
      <alignment horizontal="right"/>
    </xf>
    <xf numFmtId="0" fontId="79" fillId="0" borderId="0" xfId="0" applyFont="1" applyFill="1" applyAlignment="1" applyProtection="1">
      <alignment horizontal="right"/>
    </xf>
    <xf numFmtId="0" fontId="0" fillId="0" borderId="0" xfId="0" applyFill="1" applyProtection="1"/>
    <xf numFmtId="0" fontId="11" fillId="0" borderId="0" xfId="0" applyFont="1" applyFill="1" applyProtection="1"/>
    <xf numFmtId="0" fontId="11" fillId="0" borderId="0" xfId="0" applyFont="1" applyFill="1" applyAlignment="1" applyProtection="1">
      <alignment horizontal="center"/>
    </xf>
    <xf numFmtId="165" fontId="11" fillId="0" borderId="0" xfId="1" applyNumberFormat="1" applyFont="1" applyFill="1" applyAlignment="1" applyProtection="1">
      <alignment horizontal="right"/>
    </xf>
    <xf numFmtId="165" fontId="76" fillId="0" borderId="0" xfId="1" applyNumberFormat="1" applyFont="1" applyFill="1" applyBorder="1" applyAlignment="1" applyProtection="1">
      <alignment horizontal="center"/>
    </xf>
    <xf numFmtId="0" fontId="74" fillId="0" borderId="0" xfId="0" applyFont="1" applyFill="1" applyBorder="1" applyAlignment="1" applyProtection="1">
      <alignment horizontal="center"/>
    </xf>
    <xf numFmtId="0" fontId="74" fillId="0" borderId="0" xfId="0" applyFont="1" applyFill="1" applyAlignment="1" applyProtection="1">
      <alignment horizontal="center"/>
    </xf>
    <xf numFmtId="0" fontId="95" fillId="0" borderId="0" xfId="0" applyFont="1" applyFill="1" applyBorder="1" applyAlignment="1" applyProtection="1">
      <alignment horizontal="center"/>
    </xf>
    <xf numFmtId="165" fontId="95" fillId="0" borderId="0" xfId="1" applyNumberFormat="1" applyFont="1" applyFill="1" applyBorder="1" applyAlignment="1" applyProtection="1">
      <alignment horizontal="center"/>
    </xf>
    <xf numFmtId="0" fontId="95" fillId="0" borderId="0" xfId="0" applyFont="1" applyFill="1" applyBorder="1" applyProtection="1"/>
    <xf numFmtId="0" fontId="96" fillId="0" borderId="0" xfId="0" applyFont="1" applyFill="1" applyBorder="1" applyAlignment="1" applyProtection="1">
      <alignment horizontal="center"/>
    </xf>
    <xf numFmtId="0" fontId="96" fillId="0" borderId="0" xfId="0" applyFont="1" applyFill="1" applyBorder="1" applyProtection="1"/>
    <xf numFmtId="0" fontId="95" fillId="0" borderId="0" xfId="0" applyFont="1" applyFill="1" applyBorder="1" applyAlignment="1" applyProtection="1">
      <alignment horizontal="center" vertical="center"/>
    </xf>
    <xf numFmtId="165" fontId="95" fillId="0" borderId="0" xfId="1" applyNumberFormat="1" applyFont="1" applyFill="1" applyBorder="1" applyAlignment="1" applyProtection="1">
      <alignment horizontal="center" vertical="center"/>
    </xf>
    <xf numFmtId="0" fontId="95" fillId="0" borderId="0" xfId="0" applyFont="1" applyFill="1" applyBorder="1" applyAlignment="1" applyProtection="1">
      <alignment vertical="center"/>
    </xf>
    <xf numFmtId="0" fontId="96" fillId="0" borderId="0" xfId="0" applyFont="1" applyFill="1" applyBorder="1" applyAlignment="1" applyProtection="1">
      <alignment horizontal="center" vertical="center"/>
    </xf>
    <xf numFmtId="0" fontId="96" fillId="0" borderId="0" xfId="0" applyFont="1" applyFill="1" applyBorder="1" applyAlignment="1" applyProtection="1">
      <alignment vertical="center"/>
    </xf>
    <xf numFmtId="0" fontId="97" fillId="0" borderId="0" xfId="0" applyFont="1" applyFill="1" applyBorder="1" applyAlignment="1" applyProtection="1">
      <alignment horizontal="center"/>
    </xf>
    <xf numFmtId="0" fontId="96" fillId="0" borderId="0" xfId="0" applyFont="1" applyFill="1" applyBorder="1" applyAlignment="1" applyProtection="1">
      <alignment horizontal="right"/>
    </xf>
    <xf numFmtId="17" fontId="95" fillId="0" borderId="0" xfId="0" applyNumberFormat="1" applyFont="1" applyFill="1" applyBorder="1" applyAlignment="1" applyProtection="1">
      <alignment horizontal="center"/>
    </xf>
    <xf numFmtId="0" fontId="95" fillId="0" borderId="0" xfId="0" applyFont="1" applyFill="1" applyBorder="1" applyAlignment="1" applyProtection="1">
      <alignment horizontal="right"/>
    </xf>
    <xf numFmtId="0" fontId="98" fillId="0" borderId="0" xfId="0" applyFont="1" applyFill="1" applyBorder="1" applyProtection="1"/>
    <xf numFmtId="2" fontId="95" fillId="0" borderId="0" xfId="0" applyNumberFormat="1" applyFont="1" applyFill="1" applyBorder="1" applyAlignment="1" applyProtection="1">
      <alignment horizontal="center"/>
    </xf>
    <xf numFmtId="0" fontId="98" fillId="0" borderId="0" xfId="0" applyFont="1" applyFill="1" applyBorder="1" applyAlignment="1" applyProtection="1">
      <alignment horizontal="center"/>
    </xf>
    <xf numFmtId="0" fontId="99" fillId="0" borderId="0" xfId="0" applyFont="1" applyFill="1" applyBorder="1" applyProtection="1"/>
    <xf numFmtId="0" fontId="98" fillId="0" borderId="0" xfId="0" applyFont="1" applyFill="1" applyBorder="1" applyAlignment="1" applyProtection="1">
      <alignment horizontal="left"/>
    </xf>
    <xf numFmtId="165" fontId="98" fillId="0" borderId="0" xfId="1" applyNumberFormat="1" applyFont="1" applyFill="1" applyBorder="1" applyAlignment="1" applyProtection="1">
      <alignment horizontal="left"/>
    </xf>
    <xf numFmtId="165" fontId="95" fillId="0" borderId="0" xfId="1" applyNumberFormat="1" applyFont="1" applyFill="1" applyBorder="1" applyAlignment="1" applyProtection="1">
      <alignment horizontal="left"/>
    </xf>
    <xf numFmtId="0" fontId="100" fillId="0" borderId="0" xfId="1" applyNumberFormat="1" applyFont="1" applyFill="1" applyBorder="1" applyAlignment="1" applyProtection="1">
      <alignment horizontal="center"/>
    </xf>
    <xf numFmtId="0" fontId="101" fillId="0" borderId="0" xfId="0" applyFont="1" applyFill="1" applyBorder="1" applyProtection="1"/>
    <xf numFmtId="165" fontId="102" fillId="0" borderId="0" xfId="1" applyNumberFormat="1" applyFont="1" applyFill="1" applyBorder="1" applyAlignment="1" applyProtection="1">
      <alignment horizontal="left"/>
    </xf>
    <xf numFmtId="1" fontId="95" fillId="0" borderId="0" xfId="0" applyNumberFormat="1" applyFont="1" applyFill="1" applyBorder="1" applyProtection="1"/>
    <xf numFmtId="165" fontId="96" fillId="0" borderId="0" xfId="1" applyNumberFormat="1" applyFont="1" applyFill="1" applyBorder="1" applyAlignment="1" applyProtection="1">
      <alignment horizontal="center"/>
    </xf>
    <xf numFmtId="1" fontId="96" fillId="0" borderId="0" xfId="0" applyNumberFormat="1" applyFont="1" applyFill="1" applyBorder="1" applyAlignment="1" applyProtection="1">
      <alignment horizontal="center"/>
    </xf>
    <xf numFmtId="1" fontId="103" fillId="0" borderId="0" xfId="0" applyNumberFormat="1" applyFont="1" applyFill="1" applyBorder="1" applyAlignment="1" applyProtection="1">
      <alignment horizontal="center" vertical="center"/>
    </xf>
    <xf numFmtId="1" fontId="96" fillId="0" borderId="0" xfId="0" applyNumberFormat="1" applyFont="1" applyFill="1" applyBorder="1" applyAlignment="1" applyProtection="1">
      <alignment horizontal="center" vertical="center"/>
    </xf>
    <xf numFmtId="0" fontId="103" fillId="0" borderId="0" xfId="0" applyFont="1" applyFill="1" applyBorder="1" applyAlignment="1" applyProtection="1">
      <alignment horizontal="center" vertical="center"/>
    </xf>
    <xf numFmtId="1" fontId="95" fillId="0" borderId="0" xfId="0" applyNumberFormat="1" applyFont="1" applyFill="1" applyBorder="1" applyAlignment="1" applyProtection="1">
      <alignment horizontal="center"/>
    </xf>
    <xf numFmtId="1" fontId="96" fillId="0" borderId="0" xfId="0" applyNumberFormat="1" applyFont="1" applyFill="1" applyBorder="1" applyProtection="1"/>
    <xf numFmtId="0" fontId="96" fillId="0" borderId="0" xfId="0" applyFont="1" applyFill="1" applyProtection="1"/>
    <xf numFmtId="165" fontId="96" fillId="0" borderId="0" xfId="0" applyNumberFormat="1" applyFont="1" applyFill="1" applyBorder="1" applyAlignment="1" applyProtection="1">
      <alignment horizontal="center"/>
    </xf>
    <xf numFmtId="165" fontId="100" fillId="0" borderId="0" xfId="1" applyNumberFormat="1" applyFont="1" applyFill="1" applyBorder="1" applyAlignment="1" applyProtection="1">
      <alignment horizontal="center"/>
    </xf>
    <xf numFmtId="165" fontId="104" fillId="0" borderId="0" xfId="1" applyNumberFormat="1" applyFont="1" applyFill="1" applyBorder="1" applyAlignment="1" applyProtection="1">
      <alignment horizontal="right"/>
    </xf>
    <xf numFmtId="165" fontId="105" fillId="0" borderId="0" xfId="1" applyNumberFormat="1" applyFont="1" applyFill="1" applyBorder="1" applyAlignment="1" applyProtection="1">
      <alignment horizontal="right"/>
    </xf>
    <xf numFmtId="165" fontId="96" fillId="0" borderId="0" xfId="1" applyNumberFormat="1" applyFont="1" applyFill="1" applyBorder="1" applyAlignment="1" applyProtection="1">
      <alignment horizontal="right"/>
    </xf>
    <xf numFmtId="0" fontId="96" fillId="0" borderId="0" xfId="0" applyFont="1" applyProtection="1"/>
    <xf numFmtId="0" fontId="106" fillId="0" borderId="0" xfId="0" applyFont="1" applyAlignment="1" applyProtection="1">
      <alignment horizontal="center"/>
    </xf>
    <xf numFmtId="0" fontId="106" fillId="0" borderId="0" xfId="0" applyFont="1" applyBorder="1" applyAlignment="1" applyProtection="1">
      <alignment horizontal="right"/>
    </xf>
    <xf numFmtId="0" fontId="106" fillId="0" borderId="0" xfId="0" applyFont="1" applyBorder="1" applyAlignment="1" applyProtection="1">
      <alignment horizontal="center"/>
    </xf>
    <xf numFmtId="1" fontId="106" fillId="0" borderId="0" xfId="0" applyNumberFormat="1" applyFont="1" applyBorder="1" applyAlignment="1" applyProtection="1">
      <alignment horizontal="center"/>
    </xf>
    <xf numFmtId="165" fontId="106" fillId="0" borderId="0" xfId="1" applyNumberFormat="1" applyFont="1" applyFill="1" applyBorder="1" applyAlignment="1" applyProtection="1">
      <alignment horizontal="right"/>
    </xf>
    <xf numFmtId="165" fontId="106" fillId="0" borderId="0" xfId="1" applyNumberFormat="1" applyFont="1" applyBorder="1" applyAlignment="1" applyProtection="1">
      <alignment horizontal="center"/>
    </xf>
    <xf numFmtId="1" fontId="100" fillId="0" borderId="0" xfId="0" applyNumberFormat="1" applyFont="1" applyFill="1" applyBorder="1" applyAlignment="1" applyProtection="1">
      <alignment horizontal="center"/>
    </xf>
    <xf numFmtId="0" fontId="106" fillId="0" borderId="0" xfId="0" applyFont="1" applyAlignment="1" applyProtection="1">
      <alignment horizontal="right"/>
    </xf>
    <xf numFmtId="1" fontId="100" fillId="0" borderId="0" xfId="0" applyNumberFormat="1" applyFont="1" applyBorder="1" applyAlignment="1" applyProtection="1">
      <alignment horizontal="center"/>
    </xf>
    <xf numFmtId="0" fontId="106" fillId="0" borderId="0" xfId="0" applyFont="1" applyBorder="1" applyAlignment="1" applyProtection="1">
      <alignment horizontal="left"/>
    </xf>
    <xf numFmtId="0" fontId="106" fillId="0" borderId="0" xfId="0" applyFont="1" applyFill="1" applyBorder="1" applyAlignment="1" applyProtection="1">
      <alignment horizontal="right"/>
    </xf>
    <xf numFmtId="0" fontId="106" fillId="0" borderId="0" xfId="0" applyFont="1" applyAlignment="1" applyProtection="1">
      <alignment horizontal="left"/>
    </xf>
    <xf numFmtId="0" fontId="96" fillId="0" borderId="0" xfId="0" applyFont="1" applyAlignment="1" applyProtection="1">
      <alignment horizontal="right"/>
    </xf>
    <xf numFmtId="0" fontId="106" fillId="0" borderId="0" xfId="0" applyFont="1" applyAlignment="1" applyProtection="1">
      <alignment horizontal="right" wrapText="1"/>
    </xf>
    <xf numFmtId="165" fontId="96" fillId="0" borderId="0" xfId="1" applyNumberFormat="1" applyFont="1" applyAlignment="1" applyProtection="1">
      <alignment horizontal="center"/>
    </xf>
    <xf numFmtId="0" fontId="96" fillId="0" borderId="0" xfId="0" applyFont="1" applyAlignment="1" applyProtection="1">
      <alignment horizontal="left"/>
    </xf>
    <xf numFmtId="0" fontId="96" fillId="0" borderId="0" xfId="0" applyFont="1" applyAlignment="1" applyProtection="1">
      <alignment horizontal="center"/>
    </xf>
    <xf numFmtId="0" fontId="96" fillId="4" borderId="0" xfId="0" applyFont="1" applyFill="1" applyAlignment="1" applyProtection="1">
      <alignment horizontal="center"/>
    </xf>
    <xf numFmtId="0" fontId="96" fillId="0" borderId="0" xfId="0" applyFont="1" applyBorder="1" applyAlignment="1" applyProtection="1">
      <alignment horizontal="center"/>
    </xf>
    <xf numFmtId="165" fontId="96" fillId="4" borderId="0" xfId="0" applyNumberFormat="1" applyFont="1" applyFill="1" applyBorder="1" applyAlignment="1" applyProtection="1">
      <alignment horizontal="center"/>
    </xf>
    <xf numFmtId="165" fontId="96" fillId="0" borderId="0" xfId="1" applyNumberFormat="1" applyFont="1" applyBorder="1" applyAlignment="1" applyProtection="1">
      <alignment horizontal="center"/>
    </xf>
    <xf numFmtId="165" fontId="105" fillId="0" borderId="0" xfId="1" applyNumberFormat="1" applyFont="1" applyAlignment="1" applyProtection="1">
      <alignment horizontal="right"/>
    </xf>
    <xf numFmtId="165" fontId="98" fillId="0" borderId="0" xfId="1" applyNumberFormat="1" applyFont="1" applyBorder="1" applyAlignment="1" applyProtection="1">
      <alignment horizontal="center"/>
    </xf>
    <xf numFmtId="165" fontId="96" fillId="0" borderId="0" xfId="1" applyNumberFormat="1" applyFont="1" applyAlignment="1" applyProtection="1">
      <alignment horizontal="right"/>
    </xf>
    <xf numFmtId="3" fontId="96" fillId="0" borderId="0" xfId="0" applyNumberFormat="1" applyFont="1" applyFill="1" applyBorder="1" applyAlignment="1" applyProtection="1">
      <alignment horizontal="center"/>
    </xf>
    <xf numFmtId="0" fontId="74" fillId="0" borderId="0" xfId="0" applyFont="1" applyFill="1" applyAlignment="1" applyProtection="1">
      <alignment horizontal="left"/>
    </xf>
    <xf numFmtId="165" fontId="107" fillId="4" borderId="0" xfId="1" applyNumberFormat="1" applyFont="1" applyFill="1" applyAlignment="1" applyProtection="1">
      <alignment horizontal="left"/>
    </xf>
    <xf numFmtId="0" fontId="98" fillId="0" borderId="0" xfId="0" applyFont="1" applyProtection="1"/>
    <xf numFmtId="165" fontId="100" fillId="0" borderId="0" xfId="1" applyNumberFormat="1" applyFont="1" applyBorder="1" applyAlignment="1" applyProtection="1">
      <alignment horizontal="center"/>
    </xf>
    <xf numFmtId="165" fontId="96" fillId="0" borderId="0" xfId="1" applyNumberFormat="1" applyFont="1" applyFill="1" applyAlignment="1" applyProtection="1">
      <alignment horizontal="center"/>
    </xf>
    <xf numFmtId="0" fontId="88" fillId="0" borderId="0" xfId="2" applyFont="1" applyBorder="1" applyAlignment="1" applyProtection="1">
      <alignment horizontal="left" wrapText="1"/>
    </xf>
    <xf numFmtId="165" fontId="54" fillId="0" borderId="0" xfId="1" applyNumberFormat="1" applyFont="1" applyAlignment="1" applyProtection="1">
      <alignment horizontal="right"/>
    </xf>
    <xf numFmtId="165" fontId="98" fillId="3" borderId="0" xfId="1" applyNumberFormat="1" applyFont="1" applyFill="1" applyAlignment="1" applyProtection="1">
      <alignment horizontal="left"/>
    </xf>
    <xf numFmtId="0" fontId="96" fillId="3" borderId="0" xfId="0" applyFont="1" applyFill="1" applyProtection="1"/>
    <xf numFmtId="0" fontId="103" fillId="3" borderId="0" xfId="0" applyFont="1" applyFill="1" applyBorder="1" applyAlignment="1" applyProtection="1">
      <alignment horizontal="center" vertical="center"/>
    </xf>
    <xf numFmtId="1" fontId="11" fillId="5" borderId="2" xfId="0" applyNumberFormat="1" applyFont="1" applyFill="1" applyBorder="1" applyAlignment="1" applyProtection="1">
      <alignment horizontal="center" vertical="center"/>
      <protection locked="0"/>
    </xf>
    <xf numFmtId="0" fontId="96" fillId="0" borderId="0" xfId="0" applyFont="1" applyFill="1" applyBorder="1" applyAlignment="1" applyProtection="1">
      <alignment horizontal="left"/>
    </xf>
    <xf numFmtId="0" fontId="108" fillId="4" borderId="0" xfId="0" applyFont="1" applyFill="1"/>
    <xf numFmtId="0" fontId="109" fillId="4" borderId="0" xfId="0" applyFont="1" applyFill="1"/>
    <xf numFmtId="0" fontId="109" fillId="4" borderId="0" xfId="0" applyFont="1" applyFill="1" applyAlignment="1">
      <alignment horizontal="center"/>
    </xf>
    <xf numFmtId="0" fontId="110" fillId="4" borderId="0" xfId="0" applyFont="1" applyFill="1"/>
    <xf numFmtId="0" fontId="111" fillId="0" borderId="0" xfId="8" applyFont="1" applyBorder="1"/>
    <xf numFmtId="0" fontId="110" fillId="0" borderId="0" xfId="0" applyFont="1" applyFill="1" applyBorder="1" applyProtection="1"/>
    <xf numFmtId="165" fontId="112" fillId="0" borderId="0" xfId="1" applyNumberFormat="1" applyFont="1" applyFill="1" applyBorder="1" applyAlignment="1" applyProtection="1">
      <alignment horizontal="left" vertical="center"/>
      <protection locked="0"/>
    </xf>
    <xf numFmtId="165" fontId="112" fillId="0" borderId="0" xfId="1" applyNumberFormat="1" applyFont="1" applyFill="1" applyBorder="1" applyAlignment="1" applyProtection="1">
      <alignment horizontal="left" vertical="top"/>
      <protection locked="0"/>
    </xf>
    <xf numFmtId="0" fontId="113" fillId="0" borderId="0" xfId="7" applyFont="1" applyFill="1" applyBorder="1"/>
    <xf numFmtId="1" fontId="110" fillId="4" borderId="0" xfId="0" applyNumberFormat="1" applyFont="1" applyFill="1"/>
    <xf numFmtId="1" fontId="109" fillId="4" borderId="0" xfId="0" applyNumberFormat="1" applyFont="1" applyFill="1" applyBorder="1" applyProtection="1"/>
    <xf numFmtId="3" fontId="109" fillId="4" borderId="0" xfId="0" applyNumberFormat="1" applyFont="1" applyFill="1"/>
    <xf numFmtId="0" fontId="114" fillId="0" borderId="0" xfId="8" applyFont="1" applyBorder="1" applyAlignment="1">
      <alignment horizontal="right"/>
    </xf>
    <xf numFmtId="0" fontId="115" fillId="0" borderId="0" xfId="8" applyFont="1" applyBorder="1" applyAlignment="1">
      <alignment horizontal="right"/>
    </xf>
    <xf numFmtId="0" fontId="116" fillId="4" borderId="0" xfId="0" applyFont="1" applyFill="1" applyAlignment="1"/>
    <xf numFmtId="0" fontId="0" fillId="4" borderId="0" xfId="0" applyFill="1" applyBorder="1"/>
    <xf numFmtId="0" fontId="0" fillId="4" borderId="0" xfId="0" applyFill="1" applyBorder="1" applyAlignment="1">
      <alignment horizontal="center"/>
    </xf>
    <xf numFmtId="0" fontId="5" fillId="4" borderId="0" xfId="0" applyFont="1" applyFill="1" applyBorder="1" applyAlignment="1">
      <alignment horizontal="right" vertical="center"/>
    </xf>
    <xf numFmtId="3" fontId="5" fillId="4" borderId="0" xfId="0" applyNumberFormat="1" applyFont="1" applyFill="1" applyBorder="1" applyAlignment="1">
      <alignment vertical="center"/>
    </xf>
    <xf numFmtId="0" fontId="5" fillId="4" borderId="0" xfId="0" applyFont="1" applyFill="1" applyBorder="1" applyAlignment="1">
      <alignment horizontal="left" vertical="center"/>
    </xf>
    <xf numFmtId="0" fontId="69" fillId="9" borderId="4" xfId="7" applyFont="1" applyFill="1" applyBorder="1"/>
    <xf numFmtId="0" fontId="39" fillId="9" borderId="4" xfId="7" applyFont="1" applyFill="1" applyBorder="1" applyAlignment="1">
      <alignment horizontal="center"/>
    </xf>
    <xf numFmtId="0" fontId="7" fillId="9" borderId="8" xfId="7" applyFont="1" applyFill="1" applyBorder="1"/>
    <xf numFmtId="0" fontId="0" fillId="9" borderId="3" xfId="0" applyFill="1" applyBorder="1" applyProtection="1"/>
    <xf numFmtId="0" fontId="0" fillId="9" borderId="4" xfId="0" applyFill="1" applyBorder="1" applyProtection="1"/>
    <xf numFmtId="0" fontId="0" fillId="9" borderId="4" xfId="0" applyFill="1" applyBorder="1" applyAlignment="1" applyProtection="1">
      <alignment vertical="center"/>
    </xf>
    <xf numFmtId="0" fontId="9" fillId="9" borderId="4" xfId="0" applyFont="1" applyFill="1" applyBorder="1" applyAlignment="1" applyProtection="1">
      <alignment horizontal="right" vertical="center"/>
    </xf>
    <xf numFmtId="165" fontId="77" fillId="9" borderId="8" xfId="1" applyNumberFormat="1" applyFont="1" applyFill="1" applyBorder="1" applyAlignment="1" applyProtection="1">
      <alignment horizontal="center" vertical="center"/>
    </xf>
    <xf numFmtId="0" fontId="39" fillId="9" borderId="3" xfId="7" applyFont="1" applyFill="1" applyBorder="1" applyAlignment="1">
      <alignment vertical="center"/>
    </xf>
    <xf numFmtId="0" fontId="6" fillId="9" borderId="3" xfId="0" applyFont="1" applyFill="1" applyBorder="1"/>
    <xf numFmtId="0" fontId="6" fillId="9" borderId="4" xfId="0" applyFont="1" applyFill="1" applyBorder="1"/>
    <xf numFmtId="0" fontId="5" fillId="9" borderId="4" xfId="0" applyFont="1" applyFill="1" applyBorder="1" applyAlignment="1">
      <alignment horizontal="right" vertical="center"/>
    </xf>
    <xf numFmtId="165" fontId="5" fillId="9" borderId="4" xfId="1" applyNumberFormat="1" applyFont="1" applyFill="1" applyBorder="1" applyAlignment="1">
      <alignment horizontal="right" vertical="center"/>
    </xf>
    <xf numFmtId="0" fontId="5" fillId="9" borderId="8" xfId="0" applyFont="1" applyFill="1" applyBorder="1" applyAlignment="1">
      <alignment horizontal="left" vertical="center"/>
    </xf>
    <xf numFmtId="0" fontId="0" fillId="9" borderId="3" xfId="0" applyFill="1" applyBorder="1"/>
    <xf numFmtId="0" fontId="0" fillId="9" borderId="4" xfId="0" applyFill="1" applyBorder="1" applyAlignment="1">
      <alignment horizontal="center"/>
    </xf>
    <xf numFmtId="0" fontId="5" fillId="9" borderId="9" xfId="0" applyFont="1" applyFill="1" applyBorder="1" applyAlignment="1">
      <alignment horizontal="right" vertical="center"/>
    </xf>
    <xf numFmtId="0" fontId="0" fillId="9" borderId="4" xfId="0" applyFill="1" applyBorder="1"/>
    <xf numFmtId="0" fontId="26" fillId="9" borderId="4" xfId="0" applyFont="1" applyFill="1" applyBorder="1" applyAlignment="1">
      <alignment vertical="center"/>
    </xf>
    <xf numFmtId="0" fontId="66" fillId="9" borderId="4" xfId="0" applyFont="1" applyFill="1" applyBorder="1" applyAlignment="1">
      <alignment horizontal="right" vertical="center"/>
    </xf>
    <xf numFmtId="3" fontId="66" fillId="9" borderId="4" xfId="0" applyNumberFormat="1" applyFont="1" applyFill="1" applyBorder="1" applyAlignment="1">
      <alignment horizontal="center" vertical="center"/>
    </xf>
    <xf numFmtId="0" fontId="66" fillId="9" borderId="8" xfId="0" applyFont="1" applyFill="1" applyBorder="1" applyAlignment="1">
      <alignment vertical="center"/>
    </xf>
    <xf numFmtId="0" fontId="39" fillId="9" borderId="3" xfId="7" applyFont="1" applyFill="1" applyBorder="1"/>
    <xf numFmtId="0" fontId="117" fillId="9" borderId="3" xfId="0" applyFont="1" applyFill="1" applyBorder="1" applyAlignment="1">
      <alignment horizontal="right" vertical="center"/>
    </xf>
    <xf numFmtId="165" fontId="117" fillId="9" borderId="4" xfId="1" applyNumberFormat="1" applyFont="1" applyFill="1" applyBorder="1" applyAlignment="1">
      <alignment horizontal="center" vertical="center"/>
    </xf>
    <xf numFmtId="0" fontId="117" fillId="9" borderId="4" xfId="0" applyFont="1" applyFill="1" applyBorder="1" applyAlignment="1">
      <alignment vertical="center"/>
    </xf>
    <xf numFmtId="0" fontId="0" fillId="6" borderId="0" xfId="0" applyFill="1" applyAlignment="1" applyProtection="1">
      <alignment horizontal="center"/>
      <protection locked="0"/>
    </xf>
    <xf numFmtId="165" fontId="54" fillId="2" borderId="0" xfId="1" applyNumberFormat="1" applyFont="1" applyFill="1" applyBorder="1" applyAlignment="1" applyProtection="1">
      <alignment horizontal="center" vertical="center"/>
      <protection locked="0"/>
    </xf>
    <xf numFmtId="1" fontId="54" fillId="2" borderId="0" xfId="0" applyNumberFormat="1" applyFont="1" applyFill="1" applyBorder="1" applyAlignment="1" applyProtection="1">
      <alignment horizontal="center" vertical="center"/>
      <protection locked="0"/>
    </xf>
    <xf numFmtId="0" fontId="26" fillId="2" borderId="2" xfId="3" applyFont="1" applyFill="1" applyBorder="1" applyAlignment="1" applyProtection="1">
      <alignment horizontal="center" vertical="center"/>
      <protection locked="0"/>
    </xf>
    <xf numFmtId="0" fontId="26" fillId="2" borderId="2" xfId="2" applyFont="1" applyFill="1" applyBorder="1" applyAlignment="1" applyProtection="1">
      <alignment horizontal="center" vertical="center"/>
      <protection locked="0"/>
    </xf>
    <xf numFmtId="0" fontId="10" fillId="9" borderId="0" xfId="0" applyFont="1" applyFill="1" applyAlignment="1">
      <alignment horizontal="left" vertical="center"/>
    </xf>
    <xf numFmtId="0" fontId="10" fillId="9" borderId="0" xfId="0" applyFont="1" applyFill="1" applyAlignment="1">
      <alignment vertical="center"/>
    </xf>
    <xf numFmtId="0" fontId="0" fillId="9" borderId="0" xfId="0" applyFill="1"/>
    <xf numFmtId="0" fontId="10" fillId="9" borderId="0" xfId="0" applyFont="1" applyFill="1" applyAlignment="1">
      <alignment horizontal="right"/>
    </xf>
    <xf numFmtId="0" fontId="17" fillId="9" borderId="0" xfId="0" applyFont="1" applyFill="1" applyAlignment="1">
      <alignment horizontal="right" wrapText="1"/>
    </xf>
    <xf numFmtId="0" fontId="17" fillId="9" borderId="0" xfId="0" applyFont="1" applyFill="1" applyAlignment="1" applyProtection="1">
      <alignment horizontal="left" vertical="center" wrapText="1"/>
      <protection locked="0"/>
    </xf>
    <xf numFmtId="0" fontId="28" fillId="9" borderId="0" xfId="0" applyFont="1" applyFill="1"/>
    <xf numFmtId="0" fontId="31" fillId="9" borderId="0" xfId="0" applyFont="1" applyFill="1" applyAlignment="1">
      <alignment horizontal="right"/>
    </xf>
    <xf numFmtId="0" fontId="17" fillId="9" borderId="0" xfId="0" applyFont="1" applyFill="1" applyAlignment="1">
      <alignment horizontal="right"/>
    </xf>
    <xf numFmtId="0" fontId="0" fillId="9" borderId="0" xfId="0" applyFill="1" applyAlignment="1">
      <alignment horizontal="center"/>
    </xf>
    <xf numFmtId="0" fontId="31" fillId="9" borderId="0" xfId="0" applyFont="1" applyFill="1" applyAlignment="1">
      <alignment horizontal="center"/>
    </xf>
    <xf numFmtId="0" fontId="0" fillId="9" borderId="0" xfId="0" applyFill="1" applyAlignment="1">
      <alignment horizontal="right"/>
    </xf>
    <xf numFmtId="0" fontId="28" fillId="9" borderId="0" xfId="0" applyFont="1" applyFill="1" applyAlignment="1">
      <alignment vertical="center" wrapText="1"/>
    </xf>
    <xf numFmtId="3" fontId="12" fillId="9" borderId="0" xfId="0" applyNumberFormat="1" applyFont="1" applyFill="1" applyAlignment="1">
      <alignment horizontal="right" vertical="center"/>
    </xf>
    <xf numFmtId="3" fontId="12" fillId="9" borderId="0" xfId="0" applyNumberFormat="1" applyFont="1" applyFill="1" applyAlignment="1">
      <alignment horizontal="center" vertical="center"/>
    </xf>
    <xf numFmtId="168" fontId="12" fillId="9" borderId="0" xfId="4" applyNumberFormat="1" applyFont="1" applyFill="1" applyBorder="1" applyAlignment="1">
      <alignment horizontal="center" vertical="center"/>
    </xf>
    <xf numFmtId="0" fontId="6" fillId="9" borderId="0" xfId="0" applyFont="1" applyFill="1" applyAlignment="1" applyProtection="1">
      <alignment horizontal="left" vertical="center"/>
      <protection locked="0"/>
    </xf>
    <xf numFmtId="0" fontId="17" fillId="9" borderId="0" xfId="0" applyFont="1" applyFill="1"/>
    <xf numFmtId="0" fontId="0" fillId="9" borderId="0" xfId="0" applyFill="1" applyAlignment="1">
      <alignment vertical="center"/>
    </xf>
    <xf numFmtId="3" fontId="12" fillId="9" borderId="0" xfId="0" applyNumberFormat="1" applyFont="1" applyFill="1" applyBorder="1" applyAlignment="1">
      <alignment horizontal="right" vertical="center"/>
    </xf>
    <xf numFmtId="3" fontId="12" fillId="9" borderId="0" xfId="0" applyNumberFormat="1" applyFont="1" applyFill="1" applyBorder="1" applyAlignment="1">
      <alignment horizontal="center" vertical="center"/>
    </xf>
    <xf numFmtId="0" fontId="28" fillId="9" borderId="0" xfId="0" applyFont="1" applyFill="1" applyAlignment="1">
      <alignment vertical="center"/>
    </xf>
    <xf numFmtId="0" fontId="7" fillId="9" borderId="0" xfId="0" applyFont="1" applyFill="1"/>
    <xf numFmtId="0" fontId="7" fillId="9" borderId="0" xfId="0" applyFont="1" applyFill="1" applyAlignment="1">
      <alignment vertical="center"/>
    </xf>
    <xf numFmtId="0" fontId="57" fillId="9" borderId="0" xfId="0" applyFont="1" applyFill="1"/>
    <xf numFmtId="0" fontId="57" fillId="9" borderId="0" xfId="0" applyFont="1" applyFill="1" applyAlignment="1">
      <alignment horizontal="center"/>
    </xf>
    <xf numFmtId="0" fontId="31" fillId="9" borderId="0" xfId="0" applyFont="1" applyFill="1" applyAlignment="1">
      <alignment horizontal="left"/>
    </xf>
    <xf numFmtId="0" fontId="32" fillId="9" borderId="0" xfId="0" applyFont="1" applyFill="1" applyAlignment="1">
      <alignment horizontal="right"/>
    </xf>
    <xf numFmtId="49" fontId="32" fillId="9" borderId="0" xfId="0" applyNumberFormat="1" applyFont="1" applyFill="1"/>
    <xf numFmtId="0" fontId="6" fillId="9" borderId="0" xfId="0" applyFont="1" applyFill="1" applyAlignment="1">
      <alignment horizontal="right"/>
    </xf>
    <xf numFmtId="0" fontId="6" fillId="9" borderId="0" xfId="0" applyFont="1" applyFill="1"/>
    <xf numFmtId="167" fontId="31" fillId="9" borderId="0" xfId="0" applyNumberFormat="1" applyFont="1" applyFill="1" applyAlignment="1">
      <alignment horizontal="center"/>
    </xf>
    <xf numFmtId="0" fontId="17" fillId="9" borderId="0" xfId="0" applyFont="1" applyFill="1" applyAlignment="1">
      <alignment horizontal="center"/>
    </xf>
    <xf numFmtId="167" fontId="17" fillId="9" borderId="0" xfId="0" applyNumberFormat="1" applyFont="1" applyFill="1" applyAlignment="1">
      <alignment horizontal="center"/>
    </xf>
    <xf numFmtId="0" fontId="17" fillId="9" borderId="0" xfId="0" applyFont="1" applyFill="1" applyAlignment="1">
      <alignment horizontal="left"/>
    </xf>
    <xf numFmtId="0" fontId="0" fillId="9" borderId="0" xfId="0" applyFill="1" applyBorder="1"/>
    <xf numFmtId="0" fontId="0" fillId="9" borderId="0" xfId="0" applyFill="1" applyBorder="1" applyAlignment="1">
      <alignment vertical="center"/>
    </xf>
    <xf numFmtId="0" fontId="47" fillId="9" borderId="0" xfId="2" applyFont="1" applyFill="1" applyBorder="1" applyAlignment="1" applyProtection="1">
      <alignment horizontal="right" vertical="center"/>
    </xf>
    <xf numFmtId="0" fontId="5" fillId="9" borderId="0" xfId="0" applyFont="1" applyFill="1" applyBorder="1" applyAlignment="1">
      <alignment horizontal="left"/>
    </xf>
    <xf numFmtId="0" fontId="5" fillId="9" borderId="0" xfId="0" applyFont="1" applyFill="1" applyBorder="1"/>
    <xf numFmtId="0" fontId="12" fillId="9" borderId="0" xfId="0" applyFont="1" applyFill="1" applyBorder="1" applyAlignment="1">
      <alignment horizontal="right"/>
    </xf>
    <xf numFmtId="0" fontId="0" fillId="9" borderId="7" xfId="0" applyFill="1" applyBorder="1"/>
    <xf numFmtId="0" fontId="0" fillId="9" borderId="7" xfId="0" applyFill="1" applyBorder="1" applyAlignment="1">
      <alignment horizontal="right"/>
    </xf>
    <xf numFmtId="0" fontId="10" fillId="9" borderId="0" xfId="0" applyFont="1" applyFill="1" applyBorder="1"/>
    <xf numFmtId="0" fontId="10" fillId="9" borderId="0" xfId="0" applyFont="1" applyFill="1" applyBorder="1" applyAlignment="1">
      <alignment horizontal="right"/>
    </xf>
    <xf numFmtId="0" fontId="10" fillId="9" borderId="0" xfId="0" applyFont="1" applyFill="1" applyBorder="1" applyAlignment="1">
      <alignment horizontal="left"/>
    </xf>
    <xf numFmtId="0" fontId="0" fillId="9" borderId="11" xfId="0" applyFill="1" applyBorder="1"/>
    <xf numFmtId="0" fontId="0" fillId="9" borderId="12" xfId="0" applyFill="1" applyBorder="1"/>
    <xf numFmtId="0" fontId="0" fillId="9" borderId="12" xfId="0" applyFill="1" applyBorder="1" applyAlignment="1">
      <alignment horizontal="right"/>
    </xf>
    <xf numFmtId="0" fontId="31" fillId="9" borderId="0" xfId="0" applyFont="1" applyFill="1"/>
    <xf numFmtId="165" fontId="12" fillId="9" borderId="0" xfId="1" applyNumberFormat="1" applyFont="1" applyFill="1" applyAlignment="1">
      <alignment horizontal="center" vertical="center"/>
    </xf>
    <xf numFmtId="168" fontId="12" fillId="9" borderId="0" xfId="4" applyNumberFormat="1" applyFont="1" applyFill="1" applyAlignment="1">
      <alignment horizontal="center" vertical="center"/>
    </xf>
    <xf numFmtId="165" fontId="0" fillId="9" borderId="7" xfId="1" applyNumberFormat="1" applyFont="1" applyFill="1" applyBorder="1" applyAlignment="1">
      <alignment horizontal="center" vertical="center"/>
    </xf>
    <xf numFmtId="168" fontId="0" fillId="9" borderId="7" xfId="4" applyNumberFormat="1" applyFont="1" applyFill="1" applyBorder="1" applyAlignment="1">
      <alignment horizontal="center" vertical="center"/>
    </xf>
    <xf numFmtId="0" fontId="0" fillId="9" borderId="13" xfId="0" applyFill="1" applyBorder="1"/>
    <xf numFmtId="168" fontId="10" fillId="9" borderId="0" xfId="4" applyNumberFormat="1" applyFont="1" applyFill="1" applyBorder="1" applyAlignment="1">
      <alignment horizontal="center" vertical="center"/>
    </xf>
    <xf numFmtId="0" fontId="5" fillId="9" borderId="14" xfId="0" applyFont="1" applyFill="1" applyBorder="1"/>
    <xf numFmtId="165" fontId="0" fillId="9" borderId="12" xfId="1" applyNumberFormat="1" applyFont="1" applyFill="1" applyBorder="1" applyAlignment="1">
      <alignment horizontal="center" vertical="center"/>
    </xf>
    <xf numFmtId="168" fontId="0" fillId="9" borderId="12" xfId="4" applyNumberFormat="1" applyFont="1" applyFill="1" applyBorder="1" applyAlignment="1">
      <alignment vertical="center"/>
    </xf>
    <xf numFmtId="0" fontId="0" fillId="9" borderId="15" xfId="0" applyFill="1" applyBorder="1"/>
    <xf numFmtId="165" fontId="0" fillId="9" borderId="0" xfId="1" applyNumberFormat="1" applyFont="1" applyFill="1" applyAlignment="1">
      <alignment horizontal="center" vertical="center"/>
    </xf>
    <xf numFmtId="168" fontId="0" fillId="9" borderId="0" xfId="4" applyNumberFormat="1" applyFont="1" applyFill="1" applyAlignment="1">
      <alignment vertical="center"/>
    </xf>
    <xf numFmtId="3" fontId="0" fillId="9" borderId="7" xfId="0" applyNumberFormat="1" applyFill="1" applyBorder="1" applyAlignment="1">
      <alignment horizontal="right" vertical="center"/>
    </xf>
    <xf numFmtId="3" fontId="10" fillId="9" borderId="0" xfId="0" applyNumberFormat="1" applyFont="1" applyFill="1" applyBorder="1" applyAlignment="1">
      <alignment horizontal="right" vertical="center"/>
    </xf>
    <xf numFmtId="3" fontId="0" fillId="9" borderId="12" xfId="0" applyNumberFormat="1" applyFill="1" applyBorder="1" applyAlignment="1">
      <alignment horizontal="right" vertical="center"/>
    </xf>
    <xf numFmtId="3" fontId="0" fillId="9" borderId="0" xfId="0" applyNumberFormat="1" applyFill="1" applyAlignment="1">
      <alignment horizontal="right" vertical="center"/>
    </xf>
    <xf numFmtId="0" fontId="0" fillId="9" borderId="0" xfId="0" applyFill="1" applyProtection="1">
      <protection locked="0"/>
    </xf>
    <xf numFmtId="0" fontId="59" fillId="9" borderId="0" xfId="0" applyFont="1" applyFill="1"/>
    <xf numFmtId="3" fontId="0" fillId="9" borderId="0" xfId="0" applyNumberFormat="1" applyFill="1" applyBorder="1" applyAlignment="1">
      <alignment horizontal="left" vertical="center"/>
    </xf>
    <xf numFmtId="3" fontId="5" fillId="9" borderId="0" xfId="0" applyNumberFormat="1" applyFont="1" applyFill="1" applyBorder="1" applyAlignment="1">
      <alignment horizontal="left" vertical="center"/>
    </xf>
    <xf numFmtId="3" fontId="0" fillId="9" borderId="0" xfId="0" applyNumberFormat="1" applyFill="1" applyBorder="1" applyAlignment="1">
      <alignment horizontal="right" vertical="center"/>
    </xf>
    <xf numFmtId="3" fontId="7" fillId="9" borderId="0" xfId="0" applyNumberFormat="1" applyFont="1" applyFill="1" applyBorder="1" applyAlignment="1">
      <alignment horizontal="right" vertical="center"/>
    </xf>
    <xf numFmtId="3" fontId="17" fillId="9" borderId="0" xfId="0" applyNumberFormat="1" applyFont="1" applyFill="1" applyBorder="1" applyAlignment="1">
      <alignment horizontal="left" vertical="center"/>
    </xf>
    <xf numFmtId="3" fontId="0" fillId="9" borderId="0" xfId="0" applyNumberFormat="1" applyFill="1" applyBorder="1" applyAlignment="1">
      <alignment horizontal="center" vertical="center"/>
    </xf>
    <xf numFmtId="0" fontId="6"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wrapText="1"/>
      <protection locked="0"/>
    </xf>
    <xf numFmtId="0" fontId="31" fillId="0" borderId="0" xfId="0" applyFont="1" applyAlignment="1">
      <alignment horizontal="left"/>
    </xf>
    <xf numFmtId="0" fontId="9" fillId="0" borderId="0" xfId="0" applyFont="1" applyAlignment="1" applyProtection="1">
      <alignment horizontal="right"/>
    </xf>
    <xf numFmtId="0" fontId="8" fillId="0" borderId="0" xfId="0" applyFont="1" applyFill="1"/>
    <xf numFmtId="0" fontId="31" fillId="0" borderId="1" xfId="0" applyFont="1" applyFill="1" applyBorder="1" applyAlignment="1">
      <alignment horizontal="right"/>
    </xf>
    <xf numFmtId="1" fontId="63" fillId="0" borderId="0" xfId="0" applyNumberFormat="1" applyFont="1" applyFill="1" applyBorder="1" applyAlignment="1" applyProtection="1">
      <alignment horizontal="center" vertical="center"/>
      <protection locked="0"/>
    </xf>
    <xf numFmtId="165" fontId="31" fillId="0" borderId="2" xfId="1" applyNumberFormat="1" applyFont="1" applyFill="1" applyBorder="1" applyAlignment="1">
      <alignment horizontal="center" vertical="center"/>
    </xf>
    <xf numFmtId="0" fontId="7" fillId="0" borderId="0" xfId="0" applyFont="1" applyAlignment="1" applyProtection="1">
      <alignment horizontal="left"/>
    </xf>
    <xf numFmtId="1" fontId="96" fillId="4" borderId="0" xfId="0" applyNumberFormat="1" applyFont="1" applyFill="1" applyAlignment="1" applyProtection="1">
      <alignment horizontal="right"/>
    </xf>
    <xf numFmtId="0" fontId="120" fillId="0" borderId="0" xfId="0" applyFont="1" applyFill="1"/>
    <xf numFmtId="0" fontId="69" fillId="0" borderId="0" xfId="7" applyFont="1" applyFill="1"/>
    <xf numFmtId="0" fontId="39" fillId="0" borderId="0" xfId="8" applyFont="1" applyFill="1" applyBorder="1" applyAlignment="1">
      <alignment horizontal="right"/>
    </xf>
    <xf numFmtId="0" fontId="9" fillId="0" borderId="0" xfId="8" applyFont="1" applyFill="1" applyBorder="1"/>
    <xf numFmtId="0" fontId="69" fillId="0" borderId="1" xfId="7" applyFont="1" applyFill="1" applyBorder="1"/>
    <xf numFmtId="0" fontId="39" fillId="0" borderId="1" xfId="8" applyFont="1" applyFill="1" applyBorder="1" applyAlignment="1">
      <alignment horizontal="right"/>
    </xf>
    <xf numFmtId="0" fontId="9" fillId="0" borderId="0" xfId="8" applyFont="1" applyFill="1" applyAlignment="1">
      <alignment horizontal="right" vertical="center"/>
    </xf>
    <xf numFmtId="0" fontId="9" fillId="0" borderId="0" xfId="0" applyFont="1" applyFill="1" applyAlignment="1">
      <alignment vertical="center"/>
    </xf>
    <xf numFmtId="0" fontId="9" fillId="0" borderId="0" xfId="0" applyFont="1" applyFill="1" applyAlignment="1">
      <alignment horizontal="right" vertical="center"/>
    </xf>
    <xf numFmtId="0" fontId="39" fillId="0" borderId="3" xfId="7" applyFont="1" applyFill="1" applyBorder="1" applyAlignment="1">
      <alignment vertical="center"/>
    </xf>
    <xf numFmtId="0" fontId="69" fillId="0" borderId="4" xfId="7" applyFont="1" applyFill="1" applyBorder="1"/>
    <xf numFmtId="0" fontId="39" fillId="0" borderId="4" xfId="7" applyFont="1" applyFill="1" applyBorder="1" applyAlignment="1">
      <alignment horizontal="center"/>
    </xf>
    <xf numFmtId="0" fontId="4" fillId="0" borderId="0" xfId="0" applyFont="1" applyFill="1" applyAlignment="1">
      <alignment horizontal="right"/>
    </xf>
    <xf numFmtId="3" fontId="120" fillId="0" borderId="0" xfId="0" applyNumberFormat="1" applyFont="1" applyFill="1"/>
    <xf numFmtId="0" fontId="120" fillId="0" borderId="0" xfId="0" applyFont="1" applyFill="1" applyAlignment="1">
      <alignment horizontal="right"/>
    </xf>
    <xf numFmtId="0" fontId="5" fillId="0" borderId="7" xfId="0" applyFont="1" applyFill="1" applyBorder="1" applyAlignment="1">
      <alignment horizontal="right" vertical="center"/>
    </xf>
    <xf numFmtId="0" fontId="5" fillId="0" borderId="13" xfId="0" applyFont="1" applyFill="1" applyBorder="1" applyAlignment="1">
      <alignment horizontal="left" vertical="center"/>
    </xf>
    <xf numFmtId="0" fontId="9" fillId="0" borderId="0" xfId="1" applyNumberFormat="1" applyFont="1" applyFill="1" applyAlignment="1" applyProtection="1">
      <alignment horizontal="right" vertical="center"/>
    </xf>
    <xf numFmtId="165" fontId="5" fillId="0" borderId="7" xfId="1" applyNumberFormat="1" applyFont="1" applyFill="1" applyBorder="1" applyAlignment="1">
      <alignment horizontal="center" vertical="center"/>
    </xf>
    <xf numFmtId="49" fontId="92" fillId="5" borderId="0" xfId="1" applyNumberFormat="1" applyFont="1" applyFill="1" applyBorder="1" applyAlignment="1" applyProtection="1">
      <alignment horizontal="center" vertical="center"/>
      <protection locked="0"/>
    </xf>
    <xf numFmtId="0" fontId="31" fillId="0" borderId="0" xfId="0" applyFont="1" applyAlignment="1">
      <alignment horizontal="right" vertical="center"/>
    </xf>
    <xf numFmtId="0" fontId="12" fillId="9" borderId="0" xfId="0" applyFont="1" applyFill="1" applyAlignment="1">
      <alignment horizontal="right" vertical="center"/>
    </xf>
    <xf numFmtId="3" fontId="121" fillId="0" borderId="0" xfId="0" applyNumberFormat="1" applyFont="1"/>
    <xf numFmtId="0" fontId="121" fillId="0" borderId="0" xfId="0" applyFont="1"/>
    <xf numFmtId="0" fontId="121" fillId="0" borderId="0" xfId="0" applyFont="1" applyBorder="1"/>
    <xf numFmtId="0" fontId="122" fillId="0" borderId="0" xfId="0" applyFont="1" applyFill="1"/>
    <xf numFmtId="0" fontId="121" fillId="0" borderId="0" xfId="0" applyFont="1" applyFill="1"/>
    <xf numFmtId="0" fontId="122" fillId="9" borderId="17" xfId="0" applyFont="1" applyFill="1" applyBorder="1" applyAlignment="1">
      <alignment horizontal="center"/>
    </xf>
    <xf numFmtId="0" fontId="122" fillId="9" borderId="18" xfId="0" applyFont="1" applyFill="1" applyBorder="1" applyAlignment="1" applyProtection="1">
      <alignment horizontal="center"/>
      <protection locked="0"/>
    </xf>
    <xf numFmtId="0" fontId="31" fillId="5" borderId="2" xfId="0" applyFont="1" applyFill="1" applyBorder="1" applyAlignment="1" applyProtection="1">
      <alignment horizontal="center" vertical="center"/>
      <protection locked="0"/>
    </xf>
    <xf numFmtId="0" fontId="0" fillId="0" borderId="19" xfId="0" applyBorder="1" applyAlignment="1" applyProtection="1">
      <alignment horizontal="center"/>
    </xf>
    <xf numFmtId="0" fontId="7" fillId="10" borderId="19" xfId="0" applyFont="1" applyFill="1" applyBorder="1" applyAlignment="1" applyProtection="1">
      <alignment horizontal="center" vertical="center"/>
    </xf>
    <xf numFmtId="0" fontId="7" fillId="10" borderId="0" xfId="0" applyFont="1" applyFill="1" applyBorder="1" applyAlignment="1" applyProtection="1">
      <alignment horizontal="center" vertical="center"/>
    </xf>
    <xf numFmtId="0" fontId="5" fillId="0" borderId="0" xfId="0" applyFont="1" applyFill="1" applyBorder="1" applyAlignment="1" applyProtection="1">
      <alignment horizontal="center"/>
    </xf>
    <xf numFmtId="0" fontId="120" fillId="0" borderId="0" xfId="0" applyFont="1" applyProtection="1"/>
    <xf numFmtId="1" fontId="0" fillId="0" borderId="0" xfId="0" applyNumberFormat="1" applyAlignment="1" applyProtection="1">
      <alignment horizontal="center" vertical="center"/>
      <protection locked="0"/>
    </xf>
    <xf numFmtId="3" fontId="120" fillId="0" borderId="0" xfId="0" applyNumberFormat="1" applyFont="1" applyFill="1" applyAlignment="1"/>
    <xf numFmtId="0" fontId="120" fillId="0" borderId="0" xfId="0" applyFont="1" applyFill="1" applyAlignment="1"/>
    <xf numFmtId="0" fontId="31" fillId="0" borderId="0" xfId="0" applyFont="1" applyFill="1" applyBorder="1" applyAlignment="1">
      <alignment vertical="center"/>
    </xf>
    <xf numFmtId="0" fontId="3" fillId="0" borderId="12" xfId="0" applyFont="1" applyFill="1" applyBorder="1" applyAlignment="1">
      <alignment horizontal="right" vertical="center"/>
    </xf>
    <xf numFmtId="0" fontId="3" fillId="0" borderId="0" xfId="0" applyFont="1" applyFill="1" applyBorder="1" applyAlignment="1">
      <alignment horizontal="right" vertical="center"/>
    </xf>
    <xf numFmtId="0" fontId="5" fillId="0" borderId="12" xfId="0" applyFont="1" applyFill="1" applyBorder="1" applyAlignment="1">
      <alignment horizontal="left" vertical="center"/>
    </xf>
    <xf numFmtId="0" fontId="10" fillId="0" borderId="0" xfId="0" applyFont="1" applyFill="1" applyBorder="1" applyAlignment="1">
      <alignment horizontal="right" vertical="center"/>
    </xf>
    <xf numFmtId="165" fontId="5" fillId="0" borderId="7" xfId="1" applyNumberFormat="1" applyFont="1" applyFill="1" applyBorder="1" applyAlignment="1">
      <alignment vertical="center"/>
    </xf>
    <xf numFmtId="166" fontId="5" fillId="0" borderId="12" xfId="0" applyNumberFormat="1" applyFont="1" applyFill="1" applyBorder="1" applyAlignment="1">
      <alignment horizontal="left" vertical="center"/>
    </xf>
    <xf numFmtId="0" fontId="3" fillId="0" borderId="0" xfId="0" applyFont="1"/>
    <xf numFmtId="14" fontId="17" fillId="5" borderId="2" xfId="0" applyNumberFormat="1" applyFont="1" applyFill="1" applyBorder="1" applyAlignment="1" applyProtection="1">
      <alignment horizontal="center" vertical="center"/>
      <protection locked="0"/>
    </xf>
    <xf numFmtId="0" fontId="3" fillId="0" borderId="0" xfId="0" applyFont="1" applyFill="1"/>
    <xf numFmtId="3" fontId="13" fillId="0" borderId="0" xfId="0" applyNumberFormat="1" applyFont="1" applyFill="1" applyBorder="1" applyAlignment="1" applyProtection="1">
      <alignment horizontal="center"/>
    </xf>
    <xf numFmtId="0" fontId="120" fillId="0" borderId="0" xfId="0" applyFont="1" applyBorder="1" applyAlignment="1">
      <alignment horizontal="center" vertical="center"/>
    </xf>
    <xf numFmtId="1" fontId="120" fillId="0" borderId="0" xfId="0" applyNumberFormat="1" applyFont="1" applyBorder="1" applyAlignment="1">
      <alignment horizontal="center"/>
    </xf>
    <xf numFmtId="0" fontId="0" fillId="9" borderId="0" xfId="0" applyFill="1" applyAlignment="1">
      <alignment horizontal="center" vertical="center"/>
    </xf>
    <xf numFmtId="0" fontId="7" fillId="9" borderId="0" xfId="0" applyFont="1" applyFill="1" applyAlignment="1">
      <alignment horizontal="right" vertical="center"/>
    </xf>
    <xf numFmtId="3" fontId="7" fillId="9" borderId="0" xfId="0" applyNumberFormat="1" applyFont="1" applyFill="1" applyAlignment="1">
      <alignment horizontal="right" vertical="center"/>
    </xf>
    <xf numFmtId="0" fontId="10" fillId="9" borderId="0" xfId="0" applyFont="1" applyFill="1" applyAlignment="1"/>
    <xf numFmtId="0" fontId="3" fillId="0" borderId="0" xfId="0" applyFont="1" applyProtection="1"/>
    <xf numFmtId="165" fontId="124" fillId="0" borderId="0" xfId="0" applyNumberFormat="1" applyFont="1" applyAlignment="1" applyProtection="1">
      <alignment horizontal="right"/>
    </xf>
    <xf numFmtId="1" fontId="125" fillId="13" borderId="0" xfId="0" applyNumberFormat="1" applyFont="1" applyFill="1" applyBorder="1" applyAlignment="1" applyProtection="1">
      <alignment horizontal="center" vertical="center"/>
      <protection locked="0"/>
    </xf>
    <xf numFmtId="0" fontId="39" fillId="0" borderId="0" xfId="0" applyFont="1" applyAlignment="1" applyProtection="1">
      <alignment horizontal="center"/>
    </xf>
    <xf numFmtId="3" fontId="3" fillId="6" borderId="2" xfId="0" applyNumberFormat="1" applyFont="1" applyFill="1" applyBorder="1" applyAlignment="1" applyProtection="1">
      <alignment horizontal="center" vertical="center"/>
      <protection locked="0"/>
    </xf>
    <xf numFmtId="3" fontId="3" fillId="6" borderId="10" xfId="0" applyNumberFormat="1" applyFont="1" applyFill="1" applyBorder="1" applyAlignment="1" applyProtection="1">
      <alignment horizontal="center" vertical="center"/>
      <protection locked="0"/>
    </xf>
    <xf numFmtId="1" fontId="74" fillId="0" borderId="2" xfId="0" applyNumberFormat="1" applyFont="1" applyBorder="1" applyAlignment="1" applyProtection="1">
      <alignment horizontal="center" vertical="center"/>
    </xf>
    <xf numFmtId="1" fontId="74" fillId="0" borderId="0" xfId="0" applyNumberFormat="1" applyFont="1" applyAlignment="1" applyProtection="1">
      <alignment horizontal="center"/>
    </xf>
    <xf numFmtId="1" fontId="74" fillId="0" borderId="0" xfId="0" applyNumberFormat="1" applyFont="1" applyAlignment="1" applyProtection="1">
      <alignment horizontal="center" vertical="center"/>
    </xf>
    <xf numFmtId="165" fontId="5" fillId="0" borderId="0" xfId="1" applyNumberFormat="1"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right"/>
    </xf>
    <xf numFmtId="165" fontId="4" fillId="0" borderId="0" xfId="1" applyNumberFormat="1" applyFont="1" applyFill="1" applyAlignment="1" applyProtection="1">
      <alignment horizontal="left" vertical="center"/>
      <protection locked="0"/>
    </xf>
    <xf numFmtId="0" fontId="127" fillId="0" borderId="0" xfId="0" applyFont="1" applyFill="1"/>
    <xf numFmtId="0" fontId="127" fillId="0" borderId="0" xfId="0" applyFont="1" applyFill="1" applyAlignment="1"/>
    <xf numFmtId="0" fontId="128" fillId="0" borderId="0" xfId="0" applyFont="1" applyFill="1" applyAlignment="1">
      <alignment horizontal="center"/>
    </xf>
    <xf numFmtId="0" fontId="128" fillId="0" borderId="0" xfId="0" applyFont="1" applyFill="1"/>
    <xf numFmtId="0" fontId="129" fillId="0" borderId="0" xfId="8" applyFont="1" applyFill="1" applyBorder="1" applyAlignment="1">
      <alignment horizontal="right"/>
    </xf>
    <xf numFmtId="0" fontId="130" fillId="0" borderId="0" xfId="8" applyFont="1" applyFill="1" applyBorder="1"/>
    <xf numFmtId="0" fontId="131" fillId="0" borderId="0" xfId="8" applyFont="1" applyFill="1" applyBorder="1" applyAlignment="1">
      <alignment horizontal="right"/>
    </xf>
    <xf numFmtId="0" fontId="120" fillId="0" borderId="0" xfId="0" applyFont="1" applyFill="1" applyBorder="1" applyProtection="1"/>
    <xf numFmtId="165" fontId="132" fillId="0" borderId="0" xfId="1" applyNumberFormat="1" applyFont="1" applyFill="1" applyBorder="1" applyAlignment="1" applyProtection="1">
      <alignment horizontal="left" vertical="center"/>
      <protection locked="0"/>
    </xf>
    <xf numFmtId="165" fontId="132" fillId="0" borderId="0" xfId="1" applyNumberFormat="1" applyFont="1" applyFill="1" applyBorder="1" applyAlignment="1" applyProtection="1">
      <alignment horizontal="left" vertical="top"/>
      <protection locked="0"/>
    </xf>
    <xf numFmtId="0" fontId="133" fillId="0" borderId="0" xfId="7" applyFont="1" applyFill="1" applyBorder="1"/>
    <xf numFmtId="1" fontId="120" fillId="0" borderId="0" xfId="0" applyNumberFormat="1" applyFont="1" applyFill="1"/>
    <xf numFmtId="0" fontId="134" fillId="0" borderId="0" xfId="0" applyFont="1" applyFill="1" applyAlignment="1"/>
    <xf numFmtId="1" fontId="128" fillId="0" borderId="0" xfId="0" applyNumberFormat="1" applyFont="1" applyFill="1" applyBorder="1" applyProtection="1"/>
    <xf numFmtId="1" fontId="128" fillId="0" borderId="0" xfId="0" applyNumberFormat="1" applyFont="1" applyFill="1" applyBorder="1" applyAlignment="1" applyProtection="1"/>
    <xf numFmtId="3" fontId="128" fillId="0" borderId="0" xfId="0" applyNumberFormat="1" applyFont="1" applyFill="1"/>
    <xf numFmtId="0" fontId="3" fillId="0" borderId="0" xfId="0" applyFont="1" applyFill="1" applyAlignment="1">
      <alignment horizontal="center"/>
    </xf>
    <xf numFmtId="0" fontId="20" fillId="0" borderId="0" xfId="8" applyFont="1" applyFill="1" applyBorder="1" applyAlignment="1">
      <alignment horizontal="left"/>
    </xf>
    <xf numFmtId="0" fontId="20" fillId="0" borderId="1" xfId="8" applyFont="1" applyFill="1" applyBorder="1" applyAlignment="1">
      <alignment horizontal="left"/>
    </xf>
    <xf numFmtId="0" fontId="13" fillId="0" borderId="1" xfId="8" applyFont="1" applyFill="1" applyBorder="1" applyAlignment="1"/>
    <xf numFmtId="0" fontId="3" fillId="0" borderId="1" xfId="8" applyFont="1" applyFill="1" applyBorder="1"/>
    <xf numFmtId="0" fontId="13" fillId="0" borderId="0" xfId="8" applyFont="1" applyFill="1" applyBorder="1"/>
    <xf numFmtId="0" fontId="13" fillId="0" borderId="0" xfId="8" applyFont="1" applyFill="1" applyBorder="1" applyAlignment="1"/>
    <xf numFmtId="0" fontId="3" fillId="0" borderId="0" xfId="8" applyFont="1" applyFill="1" applyBorder="1"/>
    <xf numFmtId="0" fontId="3" fillId="0" borderId="0" xfId="0" applyFont="1" applyFill="1" applyAlignment="1" applyProtection="1">
      <alignment horizontal="center"/>
    </xf>
    <xf numFmtId="0" fontId="3" fillId="0" borderId="0" xfId="0" applyFont="1" applyFill="1" applyAlignment="1" applyProtection="1">
      <alignment horizontal="right" vertical="center"/>
    </xf>
    <xf numFmtId="0" fontId="3" fillId="0" borderId="0" xfId="8" applyFont="1" applyFill="1"/>
    <xf numFmtId="0" fontId="3" fillId="0" borderId="8" xfId="7" applyFont="1" applyFill="1" applyBorder="1"/>
    <xf numFmtId="0" fontId="3" fillId="0" borderId="0" xfId="0" applyFont="1" applyFill="1" applyAlignment="1">
      <alignment vertical="center"/>
    </xf>
    <xf numFmtId="0" fontId="5" fillId="0" borderId="0" xfId="0" applyFont="1" applyFill="1" applyAlignment="1" applyProtection="1">
      <alignment horizontal="left"/>
    </xf>
    <xf numFmtId="0" fontId="3" fillId="0" borderId="0" xfId="0" applyFont="1" applyFill="1" applyBorder="1" applyAlignment="1" applyProtection="1">
      <alignment horizontal="left" vertical="center" wrapText="1"/>
    </xf>
    <xf numFmtId="0" fontId="3" fillId="0" borderId="0" xfId="0" applyFont="1" applyFill="1" applyAlignment="1">
      <alignment horizontal="right"/>
    </xf>
    <xf numFmtId="0" fontId="3" fillId="0" borderId="0" xfId="0" applyFont="1" applyFill="1" applyAlignment="1">
      <alignment horizontal="left"/>
    </xf>
    <xf numFmtId="1" fontId="3" fillId="0" borderId="0" xfId="0" applyNumberFormat="1" applyFont="1" applyFill="1"/>
    <xf numFmtId="0" fontId="3" fillId="0" borderId="0" xfId="0" applyFont="1" applyFill="1" applyAlignment="1">
      <alignment horizontal="right" wrapText="1"/>
    </xf>
    <xf numFmtId="165" fontId="13" fillId="0" borderId="0" xfId="1" applyNumberFormat="1" applyFont="1" applyFill="1" applyBorder="1" applyAlignment="1" applyProtection="1">
      <alignment horizontal="center" vertical="center"/>
      <protection locked="0"/>
    </xf>
    <xf numFmtId="1" fontId="13" fillId="0" borderId="0" xfId="0" applyNumberFormat="1" applyFont="1" applyFill="1" applyBorder="1" applyAlignment="1" applyProtection="1">
      <alignment horizontal="center" vertical="center"/>
      <protection locked="0"/>
    </xf>
    <xf numFmtId="1" fontId="3" fillId="0" borderId="0" xfId="0" applyNumberFormat="1" applyFont="1" applyFill="1" applyProtection="1">
      <protection locked="0"/>
    </xf>
    <xf numFmtId="167" fontId="3" fillId="0" borderId="0" xfId="0" applyNumberFormat="1" applyFont="1" applyFill="1" applyAlignment="1">
      <alignment horizontal="right"/>
    </xf>
    <xf numFmtId="0" fontId="3" fillId="0" borderId="17" xfId="0" applyFont="1" applyFill="1" applyBorder="1"/>
    <xf numFmtId="0" fontId="3" fillId="0" borderId="0" xfId="0" applyFont="1" applyFill="1" applyAlignment="1"/>
    <xf numFmtId="0" fontId="3" fillId="0" borderId="18" xfId="0" applyFont="1" applyFill="1" applyBorder="1"/>
    <xf numFmtId="0" fontId="3" fillId="0" borderId="18" xfId="0" applyFont="1" applyFill="1" applyBorder="1" applyAlignment="1"/>
    <xf numFmtId="0" fontId="3" fillId="0" borderId="0" xfId="0" applyFont="1" applyFill="1" applyBorder="1"/>
    <xf numFmtId="0" fontId="3" fillId="0" borderId="14" xfId="0" applyFont="1" applyFill="1" applyBorder="1"/>
    <xf numFmtId="0" fontId="3" fillId="0" borderId="11" xfId="0" applyFont="1" applyFill="1" applyBorder="1"/>
    <xf numFmtId="0" fontId="3" fillId="0" borderId="12" xfId="0" applyFont="1" applyFill="1" applyBorder="1" applyAlignment="1">
      <alignment horizontal="center"/>
    </xf>
    <xf numFmtId="0" fontId="3" fillId="0" borderId="12" xfId="0" applyFont="1" applyFill="1" applyBorder="1"/>
    <xf numFmtId="0" fontId="3" fillId="0" borderId="12" xfId="0" applyFont="1" applyFill="1" applyBorder="1" applyAlignment="1">
      <alignment vertical="center"/>
    </xf>
    <xf numFmtId="0" fontId="3" fillId="0" borderId="15" xfId="0" applyFont="1" applyFill="1" applyBorder="1"/>
    <xf numFmtId="1" fontId="11" fillId="5" borderId="2" xfId="10" applyNumberFormat="1" applyFont="1" applyFill="1" applyBorder="1" applyAlignment="1" applyProtection="1">
      <alignment horizontal="center" vertical="center"/>
      <protection locked="0"/>
    </xf>
    <xf numFmtId="1" fontId="11" fillId="5" borderId="23" xfId="10" applyNumberFormat="1" applyFont="1" applyFill="1" applyBorder="1" applyAlignment="1" applyProtection="1">
      <alignment horizontal="center" vertical="center"/>
      <protection locked="0"/>
    </xf>
    <xf numFmtId="1" fontId="11" fillId="5" borderId="30" xfId="10" applyNumberFormat="1" applyFont="1" applyFill="1" applyBorder="1" applyAlignment="1" applyProtection="1">
      <alignment horizontal="center" vertical="center"/>
      <protection locked="0"/>
    </xf>
    <xf numFmtId="1" fontId="11" fillId="0" borderId="2" xfId="10" applyNumberFormat="1" applyFont="1" applyFill="1" applyBorder="1" applyAlignment="1" applyProtection="1">
      <alignment horizontal="center" vertical="center"/>
      <protection locked="0"/>
    </xf>
    <xf numFmtId="0" fontId="12" fillId="0" borderId="2" xfId="10" applyFont="1" applyFill="1" applyBorder="1" applyAlignment="1" applyProtection="1">
      <alignment horizontal="center" vertical="center"/>
      <protection locked="0"/>
    </xf>
    <xf numFmtId="1" fontId="11" fillId="5" borderId="2" xfId="10" quotePrefix="1" applyNumberFormat="1" applyFont="1" applyFill="1" applyBorder="1" applyAlignment="1" applyProtection="1">
      <alignment horizontal="center" vertical="center"/>
      <protection locked="0"/>
    </xf>
    <xf numFmtId="1" fontId="11" fillId="5" borderId="30" xfId="10" quotePrefix="1" applyNumberFormat="1" applyFont="1" applyFill="1" applyBorder="1" applyAlignment="1" applyProtection="1">
      <alignment horizontal="center" vertical="center"/>
      <protection locked="0"/>
    </xf>
    <xf numFmtId="1" fontId="11" fillId="5" borderId="23" xfId="10" quotePrefix="1" applyNumberFormat="1"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13" fillId="0" borderId="0" xfId="0" applyFont="1" applyAlignment="1" applyProtection="1">
      <alignment horizontal="right" vertical="center"/>
    </xf>
    <xf numFmtId="0" fontId="0" fillId="0" borderId="24" xfId="0" applyBorder="1" applyAlignment="1" applyProtection="1">
      <alignment horizontal="center"/>
    </xf>
    <xf numFmtId="0" fontId="0" fillId="0" borderId="29" xfId="0" applyBorder="1" applyAlignment="1" applyProtection="1">
      <alignment horizontal="center"/>
    </xf>
    <xf numFmtId="165" fontId="54" fillId="0" borderId="10" xfId="1" applyNumberFormat="1" applyFont="1" applyBorder="1" applyAlignment="1" applyProtection="1">
      <alignment horizontal="right" vertical="center"/>
    </xf>
    <xf numFmtId="0" fontId="3" fillId="14" borderId="0" xfId="0" applyFont="1" applyFill="1" applyAlignment="1" applyProtection="1">
      <alignment horizontal="center" vertical="center"/>
      <protection locked="0"/>
    </xf>
    <xf numFmtId="0" fontId="0" fillId="14" borderId="0" xfId="0" applyFill="1" applyAlignment="1" applyProtection="1">
      <alignment horizontal="center" vertical="center"/>
      <protection locked="0"/>
    </xf>
    <xf numFmtId="14" fontId="0" fillId="14" borderId="0" xfId="0" applyNumberFormat="1" applyFill="1" applyAlignment="1" applyProtection="1">
      <alignment horizontal="center" vertical="center"/>
      <protection locked="0"/>
    </xf>
    <xf numFmtId="0" fontId="3" fillId="14" borderId="0" xfId="9" applyFill="1" applyAlignment="1" applyProtection="1">
      <alignment horizontal="center" vertical="center"/>
      <protection locked="0"/>
    </xf>
    <xf numFmtId="0" fontId="54" fillId="0" borderId="0" xfId="0" applyFont="1" applyAlignment="1" applyProtection="1">
      <alignment horizontal="right" wrapText="1"/>
    </xf>
    <xf numFmtId="0" fontId="7" fillId="0" borderId="0" xfId="0" applyFont="1" applyBorder="1" applyAlignment="1" applyProtection="1">
      <alignment horizontal="left" vertical="center" wrapText="1"/>
    </xf>
    <xf numFmtId="3" fontId="12" fillId="15" borderId="0" xfId="0" applyNumberFormat="1" applyFont="1" applyFill="1" applyBorder="1" applyAlignment="1" applyProtection="1">
      <alignment horizontal="right" vertical="center"/>
      <protection locked="0"/>
    </xf>
    <xf numFmtId="0" fontId="12" fillId="9" borderId="0" xfId="0" applyFont="1" applyFill="1" applyBorder="1" applyAlignment="1">
      <alignment horizontal="right" vertical="center"/>
    </xf>
    <xf numFmtId="165" fontId="135" fillId="0" borderId="29" xfId="1" applyNumberFormat="1" applyFont="1" applyBorder="1" applyAlignment="1" applyProtection="1">
      <alignment horizontal="center" vertical="center"/>
    </xf>
    <xf numFmtId="0" fontId="91" fillId="0" borderId="0" xfId="8" applyFont="1" applyBorder="1" applyAlignment="1" applyProtection="1">
      <alignment horizontal="left"/>
    </xf>
    <xf numFmtId="0" fontId="69" fillId="0" borderId="0" xfId="7" applyFont="1" applyProtection="1"/>
    <xf numFmtId="0" fontId="7" fillId="0" borderId="0" xfId="8" applyFont="1" applyBorder="1" applyProtection="1"/>
    <xf numFmtId="0" fontId="39" fillId="0" borderId="0" xfId="8" applyFont="1" applyBorder="1" applyAlignment="1" applyProtection="1">
      <alignment horizontal="right"/>
    </xf>
    <xf numFmtId="0" fontId="9" fillId="0" borderId="0" xfId="8" applyFont="1" applyBorder="1" applyProtection="1"/>
    <xf numFmtId="0" fontId="68" fillId="0" borderId="0" xfId="8" applyFont="1" applyBorder="1" applyAlignment="1" applyProtection="1">
      <alignment horizontal="left"/>
    </xf>
    <xf numFmtId="0" fontId="9" fillId="0" borderId="0" xfId="7" applyFont="1" applyFill="1" applyAlignment="1" applyProtection="1">
      <alignment horizontal="center"/>
    </xf>
    <xf numFmtId="0" fontId="92" fillId="0" borderId="1" xfId="8" applyFont="1" applyBorder="1" applyAlignment="1" applyProtection="1">
      <alignment horizontal="left"/>
    </xf>
    <xf numFmtId="0" fontId="71" fillId="0" borderId="1" xfId="8" applyFont="1" applyBorder="1" applyAlignment="1" applyProtection="1"/>
    <xf numFmtId="0" fontId="69" fillId="0" borderId="1" xfId="7" applyFont="1" applyBorder="1" applyProtection="1"/>
    <xf numFmtId="0" fontId="7" fillId="0" borderId="1" xfId="8" applyFont="1" applyBorder="1" applyProtection="1"/>
    <xf numFmtId="0" fontId="13" fillId="0" borderId="1" xfId="8" applyFont="1" applyBorder="1" applyAlignment="1" applyProtection="1">
      <alignment horizontal="right"/>
    </xf>
    <xf numFmtId="0" fontId="9" fillId="0" borderId="1" xfId="8" applyFont="1" applyBorder="1" applyProtection="1"/>
    <xf numFmtId="0" fontId="25" fillId="0" borderId="1" xfId="8" applyFont="1" applyBorder="1" applyAlignment="1" applyProtection="1">
      <alignment horizontal="right"/>
    </xf>
    <xf numFmtId="0" fontId="85" fillId="0" borderId="1" xfId="8" applyFont="1" applyBorder="1" applyAlignment="1" applyProtection="1">
      <alignment horizontal="right"/>
    </xf>
    <xf numFmtId="0" fontId="72" fillId="0" borderId="0" xfId="8" applyFont="1" applyBorder="1" applyAlignment="1" applyProtection="1">
      <alignment horizontal="left"/>
    </xf>
    <xf numFmtId="0" fontId="71" fillId="0" borderId="0" xfId="8" applyFont="1" applyBorder="1" applyProtection="1"/>
    <xf numFmtId="0" fontId="71" fillId="0" borderId="0" xfId="8" applyFont="1" applyBorder="1" applyAlignment="1" applyProtection="1"/>
    <xf numFmtId="0" fontId="69" fillId="0" borderId="0" xfId="7" applyFont="1" applyBorder="1" applyProtection="1"/>
    <xf numFmtId="0" fontId="4" fillId="0" borderId="0" xfId="8" applyFont="1" applyAlignment="1" applyProtection="1">
      <alignment horizontal="left" vertical="center"/>
    </xf>
    <xf numFmtId="0" fontId="5" fillId="0" borderId="0" xfId="8" applyFont="1" applyFill="1" applyAlignment="1" applyProtection="1">
      <alignment vertical="center"/>
    </xf>
    <xf numFmtId="165" fontId="4" fillId="0" borderId="0" xfId="1" applyNumberFormat="1" applyFont="1" applyFill="1" applyAlignment="1" applyProtection="1">
      <alignment horizontal="left" vertical="center"/>
    </xf>
    <xf numFmtId="0" fontId="7" fillId="0" borderId="0" xfId="8" applyFont="1" applyBorder="1" applyAlignment="1" applyProtection="1">
      <alignment vertical="center"/>
    </xf>
    <xf numFmtId="0" fontId="85" fillId="0" borderId="0" xfId="8" applyFont="1" applyBorder="1" applyAlignment="1" applyProtection="1">
      <alignment horizontal="right"/>
    </xf>
    <xf numFmtId="0" fontId="5" fillId="0" borderId="0" xfId="8" applyFont="1" applyAlignment="1" applyProtection="1">
      <alignment horizontal="left"/>
    </xf>
    <xf numFmtId="0" fontId="7" fillId="0" borderId="0" xfId="8" applyFont="1" applyProtection="1"/>
    <xf numFmtId="165" fontId="4" fillId="0" borderId="0" xfId="1" applyNumberFormat="1" applyFont="1" applyFill="1" applyAlignment="1" applyProtection="1">
      <alignment horizontal="left" vertical="top"/>
    </xf>
    <xf numFmtId="0" fontId="86" fillId="9" borderId="3" xfId="7" applyFont="1" applyFill="1" applyBorder="1" applyAlignment="1" applyProtection="1">
      <alignment vertical="center"/>
    </xf>
    <xf numFmtId="0" fontId="69" fillId="9" borderId="4" xfId="7" applyFont="1" applyFill="1" applyBorder="1" applyProtection="1"/>
    <xf numFmtId="0" fontId="39" fillId="9" borderId="4" xfId="7" applyFont="1" applyFill="1" applyBorder="1" applyAlignment="1" applyProtection="1">
      <alignment horizontal="center"/>
    </xf>
    <xf numFmtId="0" fontId="7" fillId="9" borderId="8" xfId="7" applyFont="1" applyFill="1" applyBorder="1" applyProtection="1"/>
    <xf numFmtId="165" fontId="89" fillId="0" borderId="0" xfId="1" applyNumberFormat="1" applyFont="1" applyFill="1" applyBorder="1" applyAlignment="1" applyProtection="1">
      <alignment horizontal="center" vertical="center"/>
    </xf>
    <xf numFmtId="0" fontId="39" fillId="0" borderId="0" xfId="0" applyFont="1" applyFill="1" applyAlignment="1" applyProtection="1">
      <alignment horizontal="center"/>
    </xf>
    <xf numFmtId="0" fontId="39" fillId="0" borderId="0" xfId="0" applyFont="1" applyFill="1" applyAlignment="1" applyProtection="1"/>
    <xf numFmtId="0" fontId="3" fillId="14" borderId="0" xfId="9" applyNumberFormat="1" applyFill="1" applyAlignment="1" applyProtection="1">
      <alignment horizontal="center" vertical="center"/>
      <protection locked="0"/>
    </xf>
    <xf numFmtId="0" fontId="13" fillId="0" borderId="0" xfId="7" applyFont="1" applyAlignment="1" applyProtection="1">
      <alignment horizontal="right" vertical="center"/>
    </xf>
    <xf numFmtId="165" fontId="13" fillId="0" borderId="0" xfId="1" applyNumberFormat="1" applyFont="1" applyAlignment="1" applyProtection="1">
      <alignment horizontal="left" vertical="center"/>
    </xf>
    <xf numFmtId="172" fontId="11" fillId="5" borderId="0" xfId="1" applyNumberFormat="1" applyFont="1" applyFill="1" applyBorder="1" applyAlignment="1" applyProtection="1">
      <alignment horizontal="center" vertical="center"/>
      <protection locked="0"/>
    </xf>
    <xf numFmtId="3" fontId="3" fillId="14" borderId="0" xfId="0" applyNumberFormat="1" applyFont="1" applyFill="1" applyAlignment="1" applyProtection="1">
      <alignment horizontal="center" vertical="center"/>
      <protection locked="0"/>
    </xf>
    <xf numFmtId="169" fontId="3" fillId="14" borderId="0" xfId="0" applyNumberFormat="1" applyFont="1" applyFill="1" applyAlignment="1" applyProtection="1">
      <alignment horizontal="center" vertical="center"/>
      <protection locked="0"/>
    </xf>
    <xf numFmtId="165" fontId="11" fillId="5" borderId="0" xfId="1" applyNumberFormat="1" applyFont="1" applyFill="1" applyBorder="1" applyAlignment="1" applyProtection="1">
      <alignment horizontal="center" vertical="center"/>
      <protection locked="0"/>
    </xf>
    <xf numFmtId="3" fontId="3" fillId="0" borderId="0" xfId="0" applyNumberFormat="1" applyFont="1" applyFill="1" applyAlignment="1" applyProtection="1">
      <alignment horizontal="center"/>
    </xf>
    <xf numFmtId="3" fontId="3" fillId="0" borderId="0" xfId="0" applyNumberFormat="1" applyFont="1" applyFill="1" applyAlignment="1" applyProtection="1">
      <alignment horizontal="center" vertical="center"/>
    </xf>
    <xf numFmtId="0" fontId="31" fillId="0" borderId="0" xfId="0" applyFont="1" applyFill="1" applyAlignment="1" applyProtection="1">
      <alignment horizontal="center"/>
    </xf>
    <xf numFmtId="0" fontId="31" fillId="2" borderId="0" xfId="0" applyFont="1" applyFill="1" applyAlignment="1" applyProtection="1">
      <alignment horizontal="center"/>
    </xf>
    <xf numFmtId="1" fontId="7" fillId="0" borderId="0" xfId="0" quotePrefix="1" applyNumberFormat="1" applyFont="1" applyFill="1" applyAlignment="1" applyProtection="1">
      <alignment horizontal="center"/>
    </xf>
    <xf numFmtId="1" fontId="0" fillId="0" borderId="0" xfId="0" applyNumberFormat="1" applyFill="1" applyAlignment="1" applyProtection="1">
      <alignment horizontal="center"/>
    </xf>
    <xf numFmtId="1" fontId="7" fillId="0" borderId="0" xfId="0" applyNumberFormat="1" applyFont="1" applyFill="1" applyAlignment="1" applyProtection="1">
      <alignment horizontal="center"/>
    </xf>
    <xf numFmtId="3" fontId="3" fillId="9" borderId="0" xfId="0" applyNumberFormat="1" applyFont="1" applyFill="1" applyBorder="1" applyAlignment="1">
      <alignment horizontal="right" vertical="center"/>
    </xf>
    <xf numFmtId="3" fontId="31" fillId="9" borderId="0" xfId="0" applyNumberFormat="1" applyFont="1" applyFill="1" applyBorder="1" applyAlignment="1">
      <alignment horizontal="right" vertical="center"/>
    </xf>
    <xf numFmtId="3" fontId="17" fillId="9" borderId="0" xfId="0" applyNumberFormat="1" applyFont="1" applyFill="1" applyBorder="1" applyAlignment="1" applyProtection="1">
      <alignment horizontal="center" vertical="center"/>
      <protection locked="0"/>
    </xf>
    <xf numFmtId="3" fontId="0" fillId="9" borderId="0" xfId="0" applyNumberFormat="1" applyFill="1" applyBorder="1" applyAlignment="1" applyProtection="1">
      <alignment horizontal="center" vertical="center"/>
      <protection locked="0"/>
    </xf>
    <xf numFmtId="3" fontId="0" fillId="9" borderId="16" xfId="0" applyNumberFormat="1" applyFill="1" applyBorder="1" applyAlignment="1" applyProtection="1">
      <alignment horizontal="center" vertical="center"/>
    </xf>
    <xf numFmtId="3" fontId="0" fillId="9" borderId="0" xfId="0" applyNumberFormat="1" applyFill="1" applyBorder="1" applyAlignment="1" applyProtection="1">
      <alignment horizontal="center" vertical="center"/>
    </xf>
    <xf numFmtId="0" fontId="0" fillId="9" borderId="0" xfId="0" applyNumberFormat="1" applyFill="1" applyBorder="1" applyAlignment="1" applyProtection="1">
      <alignment horizontal="center" vertical="center"/>
    </xf>
    <xf numFmtId="9" fontId="10" fillId="9" borderId="0" xfId="4" applyNumberFormat="1" applyFont="1" applyFill="1" applyBorder="1" applyAlignment="1">
      <alignment horizontal="center" vertical="center"/>
    </xf>
    <xf numFmtId="0" fontId="4" fillId="0" borderId="0" xfId="1" applyNumberFormat="1" applyFont="1" applyFill="1" applyAlignment="1" applyProtection="1">
      <alignment horizontal="right"/>
    </xf>
    <xf numFmtId="1" fontId="11" fillId="0" borderId="30" xfId="10" applyNumberFormat="1" applyFont="1" applyFill="1" applyBorder="1" applyAlignment="1" applyProtection="1">
      <alignment horizontal="center" vertical="center"/>
      <protection locked="0"/>
    </xf>
    <xf numFmtId="1" fontId="11" fillId="0" borderId="31" xfId="10" applyNumberFormat="1" applyFont="1" applyFill="1" applyBorder="1" applyAlignment="1" applyProtection="1">
      <alignment horizontal="center" vertical="center"/>
      <protection locked="0"/>
    </xf>
    <xf numFmtId="1" fontId="7" fillId="0" borderId="0" xfId="0" applyNumberFormat="1" applyFont="1" applyFill="1" applyProtection="1"/>
    <xf numFmtId="0" fontId="2" fillId="0" borderId="0" xfId="13"/>
    <xf numFmtId="0" fontId="2" fillId="0" borderId="0" xfId="13" applyAlignment="1">
      <alignment wrapText="1"/>
    </xf>
    <xf numFmtId="0" fontId="2" fillId="0" borderId="2" xfId="13" applyBorder="1" applyAlignment="1">
      <alignment wrapText="1"/>
    </xf>
    <xf numFmtId="0" fontId="2" fillId="0" borderId="10" xfId="13" applyBorder="1" applyAlignment="1">
      <alignment wrapText="1"/>
    </xf>
    <xf numFmtId="0" fontId="2" fillId="0" borderId="2" xfId="13" applyFill="1" applyBorder="1" applyAlignment="1">
      <alignment wrapText="1"/>
    </xf>
    <xf numFmtId="0" fontId="2" fillId="0" borderId="0" xfId="13" applyFill="1" applyBorder="1" applyAlignment="1">
      <alignment wrapText="1"/>
    </xf>
    <xf numFmtId="9" fontId="12" fillId="9" borderId="0" xfId="4" applyNumberFormat="1" applyFont="1" applyFill="1" applyBorder="1" applyAlignment="1">
      <alignment horizontal="center" vertical="center"/>
    </xf>
    <xf numFmtId="9" fontId="12" fillId="9" borderId="0" xfId="0" applyNumberFormat="1" applyFont="1" applyFill="1" applyAlignment="1">
      <alignment horizontal="center" vertical="center"/>
    </xf>
    <xf numFmtId="0" fontId="74" fillId="0" borderId="0" xfId="0" applyFont="1" applyAlignment="1" applyProtection="1">
      <alignment vertical="center"/>
    </xf>
    <xf numFmtId="1" fontId="74" fillId="16" borderId="0" xfId="0" applyNumberFormat="1" applyFont="1" applyFill="1" applyAlignment="1" applyProtection="1">
      <alignment horizontal="center" vertical="center"/>
    </xf>
    <xf numFmtId="0" fontId="3" fillId="0" borderId="0" xfId="0" applyFont="1" applyAlignment="1" applyProtection="1">
      <alignment vertical="center"/>
    </xf>
    <xf numFmtId="1" fontId="74" fillId="17" borderId="0" xfId="0" applyNumberFormat="1" applyFont="1" applyFill="1" applyAlignment="1" applyProtection="1">
      <alignment horizontal="center" vertical="center"/>
    </xf>
    <xf numFmtId="0" fontId="124" fillId="0" borderId="0" xfId="0" applyFont="1" applyAlignment="1" applyProtection="1">
      <alignment vertical="center" wrapText="1"/>
    </xf>
    <xf numFmtId="0" fontId="54" fillId="0" borderId="0" xfId="0" applyFont="1" applyFill="1" applyAlignment="1" applyProtection="1">
      <alignment vertical="center" wrapText="1"/>
    </xf>
    <xf numFmtId="0" fontId="4" fillId="0" borderId="0" xfId="16" applyFont="1" applyAlignment="1" applyProtection="1">
      <alignment horizontal="left" vertical="center"/>
    </xf>
    <xf numFmtId="0" fontId="5" fillId="0" borderId="0" xfId="16" applyFont="1" applyFill="1" applyAlignment="1" applyProtection="1">
      <alignment vertical="center"/>
    </xf>
    <xf numFmtId="0" fontId="140" fillId="0" borderId="0" xfId="0" applyFont="1"/>
    <xf numFmtId="49" fontId="0" fillId="0" borderId="0" xfId="0" applyNumberFormat="1"/>
    <xf numFmtId="14" fontId="0" fillId="0" borderId="0" xfId="0" applyNumberFormat="1" applyProtection="1"/>
    <xf numFmtId="179" fontId="0" fillId="0" borderId="0" xfId="0" applyNumberFormat="1" applyProtection="1"/>
    <xf numFmtId="165" fontId="119" fillId="5" borderId="0" xfId="1" applyNumberFormat="1" applyFont="1" applyFill="1" applyBorder="1" applyAlignment="1" applyProtection="1">
      <alignment horizontal="left" vertical="center" wrapText="1"/>
    </xf>
    <xf numFmtId="0" fontId="39" fillId="6" borderId="0" xfId="0" applyFont="1" applyFill="1" applyAlignment="1" applyProtection="1">
      <alignment horizontal="left" vertical="center"/>
      <protection locked="0"/>
    </xf>
    <xf numFmtId="165" fontId="119" fillId="5" borderId="0" xfId="1" applyNumberFormat="1" applyFont="1" applyFill="1" applyBorder="1" applyAlignment="1" applyProtection="1">
      <alignment horizontal="left" vertical="center" wrapText="1"/>
      <protection locked="0"/>
    </xf>
    <xf numFmtId="165" fontId="119" fillId="5" borderId="0" xfId="1" applyNumberFormat="1" applyFont="1" applyFill="1" applyBorder="1" applyAlignment="1" applyProtection="1">
      <alignment horizontal="left" vertical="center"/>
      <protection locked="0"/>
    </xf>
    <xf numFmtId="0" fontId="20" fillId="9" borderId="0" xfId="0" applyFont="1" applyFill="1" applyBorder="1" applyAlignment="1" applyProtection="1">
      <alignment horizontal="center" vertical="center"/>
    </xf>
    <xf numFmtId="0" fontId="12" fillId="0" borderId="0" xfId="0" applyFont="1" applyBorder="1" applyAlignment="1" applyProtection="1">
      <alignment horizontal="left" vertical="center" wrapText="1"/>
    </xf>
    <xf numFmtId="0" fontId="54" fillId="0" borderId="0" xfId="0" applyFont="1" applyAlignment="1" applyProtection="1">
      <alignment horizontal="right" vertical="center"/>
    </xf>
    <xf numFmtId="0" fontId="54" fillId="16" borderId="0" xfId="0" applyFont="1" applyFill="1" applyAlignment="1" applyProtection="1">
      <alignment horizontal="right" vertical="center"/>
    </xf>
    <xf numFmtId="0" fontId="9" fillId="0" borderId="0" xfId="0" applyFont="1" applyBorder="1" applyAlignment="1" applyProtection="1">
      <alignment horizontal="right" vertical="center" wrapText="1"/>
    </xf>
    <xf numFmtId="0" fontId="9" fillId="0" borderId="5" xfId="0" applyFont="1" applyBorder="1" applyAlignment="1" applyProtection="1">
      <alignment horizontal="right" vertical="center" wrapText="1"/>
    </xf>
    <xf numFmtId="0" fontId="54" fillId="17" borderId="0" xfId="0" applyFont="1" applyFill="1" applyAlignment="1" applyProtection="1">
      <alignment horizontal="right" vertical="center" wrapText="1"/>
    </xf>
    <xf numFmtId="0" fontId="124" fillId="0" borderId="0" xfId="0" applyFont="1" applyAlignment="1" applyProtection="1">
      <alignment horizontal="right" vertical="center" wrapText="1"/>
    </xf>
    <xf numFmtId="0" fontId="0" fillId="6" borderId="0" xfId="0" applyFill="1"/>
    <xf numFmtId="0" fontId="7" fillId="0" borderId="0" xfId="0" applyFont="1" applyBorder="1" applyAlignment="1" applyProtection="1">
      <alignment horizontal="left" vertical="center" wrapText="1"/>
    </xf>
    <xf numFmtId="0" fontId="5" fillId="9" borderId="0" xfId="0" applyFont="1" applyFill="1" applyAlignment="1">
      <alignment horizontal="center" vertical="center"/>
    </xf>
    <xf numFmtId="0" fontId="23" fillId="0" borderId="0" xfId="0" applyFont="1" applyAlignment="1">
      <alignment horizontal="right" vertical="center" wrapText="1"/>
    </xf>
    <xf numFmtId="0" fontId="24" fillId="0" borderId="0" xfId="0" applyFont="1" applyFill="1" applyBorder="1" applyAlignment="1">
      <alignment horizontal="center" vertical="center" wrapText="1"/>
    </xf>
    <xf numFmtId="0" fontId="53" fillId="0" borderId="0" xfId="0" applyFont="1" applyAlignment="1">
      <alignment horizontal="left" wrapText="1"/>
    </xf>
    <xf numFmtId="0" fontId="46" fillId="0" borderId="0" xfId="0" applyFont="1" applyFill="1" applyAlignment="1">
      <alignment horizontal="center" vertical="center" wrapText="1"/>
    </xf>
    <xf numFmtId="0" fontId="41" fillId="4" borderId="0" xfId="0" applyFont="1" applyFill="1" applyBorder="1" applyAlignment="1" applyProtection="1">
      <alignment horizontal="center" vertical="center" wrapText="1"/>
    </xf>
    <xf numFmtId="0" fontId="51" fillId="4" borderId="0" xfId="0" applyFont="1" applyFill="1" applyBorder="1" applyAlignment="1" applyProtection="1">
      <alignment horizontal="center" vertical="center" wrapText="1"/>
    </xf>
    <xf numFmtId="0" fontId="51" fillId="0" borderId="0" xfId="0" applyFont="1" applyAlignment="1" applyProtection="1">
      <alignment horizontal="center" vertical="center" wrapText="1"/>
    </xf>
    <xf numFmtId="0" fontId="22" fillId="0" borderId="0" xfId="0" applyFont="1" applyFill="1" applyAlignment="1">
      <alignment horizontal="center"/>
    </xf>
    <xf numFmtId="0" fontId="0" fillId="9" borderId="0" xfId="0" applyFill="1" applyAlignment="1">
      <alignment horizontal="center" vertic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right" vertical="center" wrapText="1"/>
    </xf>
    <xf numFmtId="0" fontId="0" fillId="0" borderId="0" xfId="0" applyAlignment="1">
      <alignment horizontal="right"/>
    </xf>
    <xf numFmtId="0" fontId="5" fillId="0" borderId="0" xfId="0" applyFont="1" applyAlignment="1">
      <alignment horizontal="right"/>
    </xf>
    <xf numFmtId="0" fontId="11" fillId="0" borderId="0" xfId="0" applyFont="1" applyAlignment="1">
      <alignment horizontal="right" wrapText="1"/>
    </xf>
    <xf numFmtId="0" fontId="11" fillId="0" borderId="0" xfId="0" applyFont="1" applyAlignment="1">
      <alignment horizontal="right"/>
    </xf>
    <xf numFmtId="3" fontId="5" fillId="9" borderId="4" xfId="0" applyNumberFormat="1" applyFont="1" applyFill="1" applyBorder="1" applyAlignment="1">
      <alignment vertical="center"/>
    </xf>
    <xf numFmtId="0" fontId="3" fillId="0" borderId="7" xfId="0" applyFont="1" applyFill="1" applyBorder="1" applyAlignment="1">
      <alignment horizontal="right" vertical="center"/>
    </xf>
    <xf numFmtId="0" fontId="3" fillId="0" borderId="0" xfId="0" applyFont="1" applyFill="1" applyAlignment="1">
      <alignment horizontal="right"/>
    </xf>
    <xf numFmtId="0" fontId="17" fillId="0" borderId="0" xfId="0" applyFont="1" applyFill="1" applyBorder="1" applyAlignment="1" applyProtection="1">
      <alignment horizontal="right" vertical="center" wrapText="1"/>
    </xf>
    <xf numFmtId="0" fontId="5" fillId="11" borderId="0" xfId="0" applyFont="1" applyFill="1" applyAlignment="1">
      <alignment horizontal="center" vertical="center"/>
    </xf>
    <xf numFmtId="0" fontId="5" fillId="0" borderId="0" xfId="0" applyFont="1" applyFill="1" applyAlignment="1">
      <alignment horizontal="right"/>
    </xf>
    <xf numFmtId="0" fontId="3" fillId="0" borderId="0" xfId="0" applyFont="1" applyFill="1" applyAlignment="1">
      <alignment horizontal="right" wrapText="1"/>
    </xf>
    <xf numFmtId="0" fontId="3" fillId="0" borderId="0" xfId="0" applyFont="1" applyFill="1" applyBorder="1" applyAlignment="1">
      <alignment horizontal="right" vertical="center" wrapText="1"/>
    </xf>
    <xf numFmtId="165" fontId="5" fillId="0" borderId="0" xfId="1" applyNumberFormat="1" applyFont="1" applyFill="1" applyBorder="1" applyAlignment="1">
      <alignment vertical="center"/>
    </xf>
    <xf numFmtId="0" fontId="5" fillId="0" borderId="0" xfId="0" applyFont="1" applyFill="1" applyBorder="1" applyAlignment="1">
      <alignment horizontal="right" vertical="center"/>
    </xf>
    <xf numFmtId="165" fontId="5" fillId="0" borderId="0" xfId="1" applyNumberFormat="1" applyFont="1" applyFill="1" applyBorder="1" applyAlignment="1">
      <alignment horizontal="center" vertical="center"/>
    </xf>
    <xf numFmtId="0" fontId="5" fillId="0" borderId="14" xfId="0" applyFont="1" applyFill="1" applyBorder="1" applyAlignment="1">
      <alignment horizontal="left" vertical="center"/>
    </xf>
    <xf numFmtId="0" fontId="0" fillId="0" borderId="0" xfId="0" applyFill="1" applyAlignment="1">
      <alignment horizontal="right" vertical="center"/>
    </xf>
    <xf numFmtId="0" fontId="31" fillId="0" borderId="24" xfId="0" applyFont="1" applyBorder="1" applyAlignment="1">
      <alignment horizontal="center" wrapText="1"/>
    </xf>
    <xf numFmtId="0" fontId="31" fillId="0" borderId="10" xfId="0" applyFont="1" applyBorder="1" applyAlignment="1">
      <alignment horizontal="center" wrapText="1"/>
    </xf>
    <xf numFmtId="0" fontId="3" fillId="6" borderId="0" xfId="0" applyFont="1" applyFill="1" applyAlignment="1" applyProtection="1">
      <alignment horizontal="left" vertical="top" wrapText="1"/>
      <protection locked="0"/>
    </xf>
    <xf numFmtId="0" fontId="0" fillId="0" borderId="0" xfId="0" applyAlignment="1">
      <alignment horizontal="center"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5" fillId="0" borderId="0" xfId="0" applyFont="1" applyAlignment="1">
      <alignment horizontal="left" vertical="center" wrapText="1"/>
    </xf>
    <xf numFmtId="9" fontId="0" fillId="0" borderId="20" xfId="0" applyNumberFormat="1" applyBorder="1" applyAlignment="1">
      <alignment horizontal="center" vertical="center"/>
    </xf>
    <xf numFmtId="9" fontId="0" fillId="0" borderId="21" xfId="0" applyNumberFormat="1" applyBorder="1" applyAlignment="1">
      <alignment horizontal="center" vertical="center"/>
    </xf>
    <xf numFmtId="0" fontId="7" fillId="0" borderId="0" xfId="0" applyFont="1" applyBorder="1" applyAlignment="1">
      <alignment horizontal="right" vertical="center" wrapText="1"/>
    </xf>
    <xf numFmtId="0" fontId="7" fillId="0" borderId="14" xfId="0" applyFont="1" applyBorder="1" applyAlignment="1">
      <alignment horizontal="right" vertical="center" wrapText="1"/>
    </xf>
    <xf numFmtId="2" fontId="31" fillId="0" borderId="22" xfId="0" applyNumberFormat="1" applyFont="1" applyFill="1" applyBorder="1" applyAlignment="1" applyProtection="1">
      <alignment horizontal="center" vertical="center"/>
      <protection locked="0"/>
    </xf>
    <xf numFmtId="2" fontId="31" fillId="0" borderId="23" xfId="0" applyNumberFormat="1" applyFont="1" applyFill="1" applyBorder="1" applyAlignment="1" applyProtection="1">
      <alignment horizontal="center" vertical="center"/>
      <protection locked="0"/>
    </xf>
    <xf numFmtId="0" fontId="0" fillId="0" borderId="0" xfId="0" applyFill="1" applyAlignment="1">
      <alignment horizontal="center" vertical="center"/>
    </xf>
    <xf numFmtId="0" fontId="0" fillId="0" borderId="0" xfId="0" applyFill="1" applyProtection="1">
      <protection locked="0"/>
    </xf>
    <xf numFmtId="0" fontId="31" fillId="0" borderId="2" xfId="0" applyFont="1" applyBorder="1" applyAlignment="1">
      <alignment horizontal="left" wrapText="1"/>
    </xf>
    <xf numFmtId="0" fontId="31" fillId="0" borderId="23" xfId="0" applyFont="1" applyBorder="1" applyAlignment="1">
      <alignment horizontal="left" wrapText="1"/>
    </xf>
    <xf numFmtId="0" fontId="31" fillId="0" borderId="22" xfId="0" applyFont="1" applyBorder="1" applyAlignment="1">
      <alignment horizontal="left" wrapText="1"/>
    </xf>
    <xf numFmtId="0" fontId="31" fillId="0" borderId="25" xfId="0" applyFont="1" applyBorder="1" applyAlignment="1">
      <alignment horizontal="left" wrapText="1"/>
    </xf>
    <xf numFmtId="0" fontId="31" fillId="0" borderId="26" xfId="0" applyFont="1" applyBorder="1" applyAlignment="1">
      <alignment horizontal="left" wrapText="1"/>
    </xf>
    <xf numFmtId="0" fontId="31" fillId="0" borderId="27" xfId="0" applyFont="1" applyBorder="1" applyAlignment="1">
      <alignment horizontal="left" wrapText="1"/>
    </xf>
    <xf numFmtId="0" fontId="31" fillId="0" borderId="28" xfId="0" applyFont="1" applyBorder="1" applyAlignment="1">
      <alignment horizontal="left" wrapText="1"/>
    </xf>
    <xf numFmtId="0" fontId="0" fillId="0" borderId="24" xfId="0" applyBorder="1" applyAlignment="1">
      <alignment horizontal="center"/>
    </xf>
    <xf numFmtId="0" fontId="31" fillId="0" borderId="24" xfId="0" applyFont="1" applyBorder="1" applyAlignment="1">
      <alignment horizontal="center"/>
    </xf>
    <xf numFmtId="0" fontId="31" fillId="0" borderId="29" xfId="0" applyFont="1" applyBorder="1" applyAlignment="1">
      <alignment horizontal="center"/>
    </xf>
    <xf numFmtId="0" fontId="31" fillId="0" borderId="10" xfId="0" applyFont="1" applyBorder="1" applyAlignment="1">
      <alignment horizontal="center"/>
    </xf>
    <xf numFmtId="0" fontId="6" fillId="0" borderId="24" xfId="0" applyFont="1" applyBorder="1" applyAlignment="1">
      <alignment horizontal="left"/>
    </xf>
    <xf numFmtId="0" fontId="6" fillId="0" borderId="29" xfId="0" applyFont="1" applyBorder="1" applyAlignment="1">
      <alignment horizontal="left"/>
    </xf>
    <xf numFmtId="0" fontId="6" fillId="0" borderId="10" xfId="0" applyFont="1" applyBorder="1" applyAlignment="1">
      <alignment horizontal="left"/>
    </xf>
    <xf numFmtId="0" fontId="6" fillId="0" borderId="2" xfId="0" applyFont="1" applyBorder="1" applyAlignment="1">
      <alignment horizontal="center"/>
    </xf>
    <xf numFmtId="0" fontId="6" fillId="0" borderId="2" xfId="0" applyFont="1" applyBorder="1" applyAlignment="1">
      <alignment horizontal="left"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1" fontId="0" fillId="0" borderId="0" xfId="0" applyNumberFormat="1" applyFill="1" applyAlignment="1">
      <alignment horizontal="center"/>
    </xf>
    <xf numFmtId="0" fontId="0" fillId="12" borderId="0" xfId="0" applyFill="1"/>
    <xf numFmtId="0" fontId="4" fillId="0" borderId="0" xfId="1" applyNumberFormat="1" applyFont="1" applyFill="1" applyAlignment="1" applyProtection="1">
      <alignment horizontal="right"/>
    </xf>
    <xf numFmtId="3" fontId="0" fillId="9" borderId="16" xfId="0" applyNumberFormat="1" applyFill="1" applyBorder="1" applyAlignment="1" applyProtection="1">
      <alignment horizontal="center" vertical="center"/>
    </xf>
    <xf numFmtId="0" fontId="0" fillId="9" borderId="1" xfId="0" applyNumberFormat="1" applyFill="1" applyBorder="1" applyAlignment="1" applyProtection="1">
      <alignment horizontal="center" vertical="center"/>
    </xf>
    <xf numFmtId="173" fontId="7" fillId="6" borderId="0" xfId="0" applyNumberFormat="1" applyFont="1" applyFill="1" applyAlignment="1" applyProtection="1">
      <alignment horizontal="center"/>
      <protection locked="0"/>
    </xf>
    <xf numFmtId="173" fontId="0" fillId="6" borderId="0" xfId="0" applyNumberFormat="1" applyFill="1" applyAlignment="1" applyProtection="1">
      <alignment horizontal="center"/>
      <protection locked="0"/>
    </xf>
    <xf numFmtId="3" fontId="0" fillId="0" borderId="24" xfId="0" applyNumberFormat="1" applyFill="1" applyBorder="1" applyAlignment="1" applyProtection="1">
      <alignment horizontal="center" vertical="center"/>
    </xf>
    <xf numFmtId="3" fontId="0" fillId="0" borderId="29" xfId="0" applyNumberFormat="1" applyFill="1" applyBorder="1" applyAlignment="1" applyProtection="1">
      <alignment horizontal="center" vertical="center"/>
    </xf>
    <xf numFmtId="3" fontId="0" fillId="0" borderId="10" xfId="0" applyNumberFormat="1" applyFill="1" applyBorder="1" applyAlignment="1" applyProtection="1">
      <alignment horizontal="center" vertical="center"/>
    </xf>
    <xf numFmtId="173" fontId="5" fillId="6" borderId="0" xfId="0" applyNumberFormat="1" applyFont="1" applyFill="1" applyBorder="1" applyAlignment="1" applyProtection="1">
      <alignment horizontal="center" vertical="center"/>
      <protection locked="0"/>
    </xf>
    <xf numFmtId="3" fontId="0" fillId="9" borderId="0" xfId="0" applyNumberFormat="1" applyFill="1" applyBorder="1" applyAlignment="1" applyProtection="1">
      <alignment horizontal="center" vertical="center"/>
    </xf>
    <xf numFmtId="165" fontId="4" fillId="0" borderId="0" xfId="1" applyNumberFormat="1" applyFont="1" applyFill="1" applyAlignment="1" applyProtection="1">
      <alignment horizontal="left" vertical="center"/>
      <protection locked="0"/>
    </xf>
    <xf numFmtId="3" fontId="10" fillId="9" borderId="0" xfId="0" applyNumberFormat="1" applyFont="1" applyFill="1" applyBorder="1" applyAlignment="1">
      <alignment horizontal="center" vertical="center"/>
    </xf>
    <xf numFmtId="0" fontId="31" fillId="6" borderId="0" xfId="0" applyFont="1" applyFill="1" applyAlignment="1" applyProtection="1">
      <alignment horizontal="left" vertical="top" wrapText="1"/>
      <protection locked="0"/>
    </xf>
    <xf numFmtId="0" fontId="28" fillId="9" borderId="0" xfId="0" applyFont="1" applyFill="1" applyAlignment="1">
      <alignment vertical="center" wrapText="1"/>
    </xf>
    <xf numFmtId="0" fontId="17" fillId="9" borderId="0" xfId="0" applyFont="1" applyFill="1" applyAlignment="1">
      <alignment horizontal="right" textRotation="90" wrapText="1"/>
    </xf>
    <xf numFmtId="0" fontId="17" fillId="9" borderId="1" xfId="0" applyFont="1" applyFill="1" applyBorder="1" applyAlignment="1">
      <alignment horizontal="right" textRotation="90" wrapText="1"/>
    </xf>
    <xf numFmtId="0" fontId="17" fillId="9" borderId="0" xfId="0" applyFont="1" applyFill="1" applyAlignment="1">
      <alignment horizontal="right" wrapText="1"/>
    </xf>
    <xf numFmtId="0" fontId="31" fillId="9" borderId="0" xfId="0" applyFont="1" applyFill="1" applyAlignment="1">
      <alignment horizontal="center" wrapText="1"/>
    </xf>
    <xf numFmtId="0" fontId="0" fillId="9" borderId="0" xfId="0" applyFill="1" applyAlignment="1">
      <alignment horizontal="left" vertical="center"/>
    </xf>
    <xf numFmtId="0" fontId="17" fillId="3" borderId="0" xfId="0" applyFont="1" applyFill="1" applyAlignment="1">
      <alignment wrapText="1"/>
    </xf>
    <xf numFmtId="0" fontId="28" fillId="3" borderId="0" xfId="0" applyFont="1" applyFill="1" applyAlignment="1">
      <alignment vertical="center" wrapText="1"/>
    </xf>
    <xf numFmtId="0" fontId="0" fillId="5" borderId="0" xfId="0" applyFill="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17" fillId="5" borderId="0" xfId="0" applyFont="1" applyFill="1" applyAlignment="1" applyProtection="1">
      <alignment vertical="center" wrapText="1"/>
      <protection locked="0"/>
    </xf>
    <xf numFmtId="0" fontId="0" fillId="5" borderId="0" xfId="0" applyFill="1" applyAlignment="1">
      <alignment horizontal="center"/>
    </xf>
    <xf numFmtId="0" fontId="83" fillId="0" borderId="0" xfId="2" applyFont="1" applyFill="1" applyBorder="1" applyAlignment="1" applyProtection="1">
      <alignment horizontal="left" vertical="center" wrapText="1"/>
    </xf>
    <xf numFmtId="0" fontId="17" fillId="0" borderId="0" xfId="0" applyFont="1" applyBorder="1" applyAlignment="1">
      <alignment horizontal="center"/>
    </xf>
    <xf numFmtId="0" fontId="88" fillId="0" borderId="0" xfId="2" applyFont="1" applyBorder="1" applyAlignment="1" applyProtection="1">
      <alignment horizontal="left" wrapText="1"/>
    </xf>
    <xf numFmtId="0" fontId="17" fillId="0" borderId="0" xfId="0" applyFont="1" applyBorder="1" applyAlignment="1">
      <alignment horizontal="center" wrapText="1"/>
    </xf>
    <xf numFmtId="0" fontId="6" fillId="0" borderId="0" xfId="0" applyFont="1" applyFill="1" applyAlignment="1">
      <alignment horizontal="center"/>
    </xf>
    <xf numFmtId="1" fontId="5" fillId="0" borderId="0" xfId="0" applyNumberFormat="1" applyFont="1" applyFill="1" applyAlignment="1">
      <alignment horizontal="center"/>
    </xf>
    <xf numFmtId="0" fontId="0" fillId="0" borderId="0" xfId="0" applyFill="1" applyAlignment="1">
      <alignment horizontal="right" wrapText="1"/>
    </xf>
    <xf numFmtId="167" fontId="7" fillId="0" borderId="0" xfId="0" applyNumberFormat="1" applyFont="1" applyFill="1" applyAlignment="1">
      <alignment horizontal="center"/>
    </xf>
  </cellXfs>
  <cellStyles count="17">
    <cellStyle name="Hyperlink_Vorlage Leer JSM_4-52" xfId="3"/>
    <cellStyle name="Komma" xfId="1" builtinId="3"/>
    <cellStyle name="Link" xfId="2" builtinId="8"/>
    <cellStyle name="Prozent" xfId="4" builtinId="5"/>
    <cellStyle name="Standard" xfId="0" builtinId="0"/>
    <cellStyle name="Standard 2" xfId="5"/>
    <cellStyle name="Standard 2 2" xfId="11"/>
    <cellStyle name="Standard 3" xfId="6"/>
    <cellStyle name="Standard 3 2" xfId="12"/>
    <cellStyle name="Standard 4" xfId="10"/>
    <cellStyle name="Standard 5" xfId="13"/>
    <cellStyle name="Standard 5 2" xfId="14"/>
    <cellStyle name="Standard 6" xfId="15"/>
    <cellStyle name="Standard_Ingelheim 98 2" xfId="7"/>
    <cellStyle name="Standard_JSM Eingabe" xfId="8"/>
    <cellStyle name="Standard_JSM Eingabe 2" xfId="16"/>
    <cellStyle name="Standard_Vorlage Leer JSM_4-52" xfId="9"/>
  </cellStyles>
  <dxfs count="3">
    <dxf>
      <font>
        <b/>
        <i val="0"/>
        <color theme="9"/>
      </font>
    </dxf>
    <dxf>
      <font>
        <b/>
        <i val="0"/>
        <color rgb="FFFF0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9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F"/>
      <rgbColor rgb="00CCECFF"/>
      <rgbColor rgb="00FF99CC"/>
      <rgbColor rgb="00CC99FF"/>
      <rgbColor rgb="00FFCC99"/>
      <rgbColor rgb="003366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333333"/>
    </indexedColors>
    <mruColors>
      <color rgb="FFDDDDDD"/>
      <color rgb="FFDDD3D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52964830278856"/>
          <c:y val="0.11737143014336693"/>
          <c:w val="0.8490212335731423"/>
          <c:h val="0.58216229351110216"/>
        </c:manualLayout>
      </c:layout>
      <c:barChart>
        <c:barDir val="col"/>
        <c:grouping val="stacked"/>
        <c:varyColors val="0"/>
        <c:ser>
          <c:idx val="0"/>
          <c:order val="0"/>
          <c:spPr>
            <a:solidFill>
              <a:srgbClr val="9999FF"/>
            </a:solidFill>
            <a:ln w="12700">
              <a:solidFill>
                <a:srgbClr val="000000"/>
              </a:solidFill>
              <a:prstDash val="solid"/>
            </a:ln>
          </c:spPr>
          <c:invertIfNegative val="0"/>
          <c:val>
            <c:numRef>
              <c:f>'JSM Dichtemittel '!$K$26:$K$46</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BDE5-497C-9211-6FA51D27C6CF}"/>
            </c:ext>
          </c:extLst>
        </c:ser>
        <c:dLbls>
          <c:showLegendKey val="0"/>
          <c:showVal val="0"/>
          <c:showCatName val="0"/>
          <c:showSerName val="0"/>
          <c:showPercent val="0"/>
          <c:showBubbleSize val="0"/>
        </c:dLbls>
        <c:gapWidth val="150"/>
        <c:overlap val="100"/>
        <c:axId val="386872616"/>
        <c:axId val="386873400"/>
      </c:barChart>
      <c:catAx>
        <c:axId val="38687261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Klasse</a:t>
                </a:r>
              </a:p>
            </c:rich>
          </c:tx>
          <c:layout>
            <c:manualLayout>
              <c:xMode val="edge"/>
              <c:yMode val="edge"/>
              <c:x val="0.50938061483407204"/>
              <c:y val="0.851412309416378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86873400"/>
        <c:crosses val="autoZero"/>
        <c:auto val="1"/>
        <c:lblAlgn val="ctr"/>
        <c:lblOffset val="100"/>
        <c:tickLblSkip val="1"/>
        <c:tickMarkSkip val="1"/>
        <c:noMultiLvlLbl val="0"/>
      </c:catAx>
      <c:valAx>
        <c:axId val="386873400"/>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Anzahl</a:t>
                </a:r>
              </a:p>
            </c:rich>
          </c:tx>
          <c:layout>
            <c:manualLayout>
              <c:xMode val="edge"/>
              <c:yMode val="edge"/>
              <c:x val="6.8919769826871671E-3"/>
              <c:y val="0.318232327700610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86872616"/>
        <c:crosses val="autoZero"/>
        <c:crossBetween val="between"/>
      </c:valAx>
      <c:spPr>
        <a:solidFill>
          <a:srgbClr val="FFFFFF"/>
        </a:solidFill>
        <a:ln w="12700">
          <a:solidFill>
            <a:srgbClr val="FFFFFF"/>
          </a:solidFill>
          <a:prstDash val="solid"/>
        </a:ln>
      </c:spPr>
    </c:plotArea>
    <c:plotVisOnly val="1"/>
    <c:dispBlanksAs val="gap"/>
    <c:showDLblsOverMax val="0"/>
  </c:chart>
  <c:spPr>
    <a:no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9" footer="0.4921259845000013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441170174391753E-2"/>
          <c:y val="0.2125642388800299"/>
          <c:w val="0.92349179367440415"/>
          <c:h val="0.63649989237129012"/>
        </c:manualLayout>
      </c:layout>
      <c:lineChart>
        <c:grouping val="standard"/>
        <c:varyColors val="0"/>
        <c:ser>
          <c:idx val="0"/>
          <c:order val="0"/>
          <c:tx>
            <c:strRef>
              <c:f>'JSM GM A198'!$D$54</c:f>
              <c:strCache>
                <c:ptCount val="1"/>
                <c:pt idx="0">
                  <c:v>Abwassermenge</c:v>
                </c:pt>
              </c:strCache>
            </c:strRef>
          </c:tx>
          <c:spPr>
            <a:ln w="12700">
              <a:solidFill>
                <a:srgbClr val="000080"/>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A198'!$D$55:$D$419</c:f>
              <c:numCache>
                <c:formatCode>0</c:formatCode>
                <c:ptCount val="365"/>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9.9999999999999995E-7</c:v>
                </c:pt>
                <c:pt idx="16">
                  <c:v>9.9999999999999995E-7</c:v>
                </c:pt>
                <c:pt idx="17">
                  <c:v>9.9999999999999995E-7</c:v>
                </c:pt>
                <c:pt idx="18">
                  <c:v>9.9999999999999995E-7</c:v>
                </c:pt>
                <c:pt idx="19">
                  <c:v>9.9999999999999995E-7</c:v>
                </c:pt>
                <c:pt idx="20">
                  <c:v>9.9999999999999995E-7</c:v>
                </c:pt>
                <c:pt idx="21">
                  <c:v>9.9999999999999995E-7</c:v>
                </c:pt>
                <c:pt idx="22">
                  <c:v>9.9999999999999995E-7</c:v>
                </c:pt>
                <c:pt idx="23">
                  <c:v>9.9999999999999995E-7</c:v>
                </c:pt>
                <c:pt idx="24">
                  <c:v>9.9999999999999995E-7</c:v>
                </c:pt>
                <c:pt idx="25">
                  <c:v>9.9999999999999995E-7</c:v>
                </c:pt>
                <c:pt idx="26">
                  <c:v>9.9999999999999995E-7</c:v>
                </c:pt>
                <c:pt idx="27">
                  <c:v>9.9999999999999995E-7</c:v>
                </c:pt>
                <c:pt idx="28">
                  <c:v>9.9999999999999995E-7</c:v>
                </c:pt>
                <c:pt idx="29">
                  <c:v>9.9999999999999995E-7</c:v>
                </c:pt>
                <c:pt idx="30">
                  <c:v>9.9999999999999995E-7</c:v>
                </c:pt>
                <c:pt idx="31">
                  <c:v>9.9999999999999995E-7</c:v>
                </c:pt>
                <c:pt idx="32">
                  <c:v>9.9999999999999995E-7</c:v>
                </c:pt>
                <c:pt idx="33">
                  <c:v>9.9999999999999995E-7</c:v>
                </c:pt>
                <c:pt idx="34">
                  <c:v>9.9999999999999995E-7</c:v>
                </c:pt>
                <c:pt idx="35">
                  <c:v>9.9999999999999995E-7</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9.9999999999999995E-7</c:v>
                </c:pt>
                <c:pt idx="45">
                  <c:v>9.9999999999999995E-7</c:v>
                </c:pt>
                <c:pt idx="46">
                  <c:v>9.9999999999999995E-7</c:v>
                </c:pt>
                <c:pt idx="47">
                  <c:v>9.9999999999999995E-7</c:v>
                </c:pt>
                <c:pt idx="48">
                  <c:v>9.9999999999999995E-7</c:v>
                </c:pt>
                <c:pt idx="49">
                  <c:v>9.9999999999999995E-7</c:v>
                </c:pt>
                <c:pt idx="50">
                  <c:v>9.9999999999999995E-7</c:v>
                </c:pt>
                <c:pt idx="51">
                  <c:v>9.9999999999999995E-7</c:v>
                </c:pt>
                <c:pt idx="52">
                  <c:v>9.9999999999999995E-7</c:v>
                </c:pt>
                <c:pt idx="53">
                  <c:v>9.9999999999999995E-7</c:v>
                </c:pt>
                <c:pt idx="54">
                  <c:v>9.9999999999999995E-7</c:v>
                </c:pt>
                <c:pt idx="55">
                  <c:v>9.9999999999999995E-7</c:v>
                </c:pt>
                <c:pt idx="56">
                  <c:v>9.9999999999999995E-7</c:v>
                </c:pt>
                <c:pt idx="57">
                  <c:v>9.9999999999999995E-7</c:v>
                </c:pt>
                <c:pt idx="58">
                  <c:v>9.9999999999999995E-7</c:v>
                </c:pt>
                <c:pt idx="59">
                  <c:v>9.9999999999999995E-7</c:v>
                </c:pt>
                <c:pt idx="60">
                  <c:v>9.9999999999999995E-7</c:v>
                </c:pt>
                <c:pt idx="61">
                  <c:v>9.9999999999999995E-7</c:v>
                </c:pt>
                <c:pt idx="62">
                  <c:v>9.9999999999999995E-7</c:v>
                </c:pt>
                <c:pt idx="63">
                  <c:v>9.9999999999999995E-7</c:v>
                </c:pt>
                <c:pt idx="64">
                  <c:v>9.9999999999999995E-7</c:v>
                </c:pt>
                <c:pt idx="65">
                  <c:v>9.9999999999999995E-7</c:v>
                </c:pt>
                <c:pt idx="66">
                  <c:v>9.9999999999999995E-7</c:v>
                </c:pt>
                <c:pt idx="67">
                  <c:v>9.9999999999999995E-7</c:v>
                </c:pt>
                <c:pt idx="68">
                  <c:v>9.9999999999999995E-7</c:v>
                </c:pt>
                <c:pt idx="69">
                  <c:v>9.9999999999999995E-7</c:v>
                </c:pt>
                <c:pt idx="70">
                  <c:v>9.9999999999999995E-7</c:v>
                </c:pt>
                <c:pt idx="71">
                  <c:v>9.9999999999999995E-7</c:v>
                </c:pt>
                <c:pt idx="72">
                  <c:v>9.9999999999999995E-7</c:v>
                </c:pt>
                <c:pt idx="73">
                  <c:v>9.9999999999999995E-7</c:v>
                </c:pt>
                <c:pt idx="74">
                  <c:v>9.9999999999999995E-7</c:v>
                </c:pt>
                <c:pt idx="75">
                  <c:v>9.9999999999999995E-7</c:v>
                </c:pt>
                <c:pt idx="76">
                  <c:v>9.9999999999999995E-7</c:v>
                </c:pt>
                <c:pt idx="77">
                  <c:v>9.9999999999999995E-7</c:v>
                </c:pt>
                <c:pt idx="78">
                  <c:v>9.9999999999999995E-7</c:v>
                </c:pt>
                <c:pt idx="79">
                  <c:v>9.9999999999999995E-7</c:v>
                </c:pt>
                <c:pt idx="80">
                  <c:v>9.9999999999999995E-7</c:v>
                </c:pt>
                <c:pt idx="81">
                  <c:v>9.9999999999999995E-7</c:v>
                </c:pt>
                <c:pt idx="82">
                  <c:v>9.9999999999999995E-7</c:v>
                </c:pt>
                <c:pt idx="83">
                  <c:v>9.9999999999999995E-7</c:v>
                </c:pt>
                <c:pt idx="84">
                  <c:v>9.9999999999999995E-7</c:v>
                </c:pt>
                <c:pt idx="85">
                  <c:v>9.9999999999999995E-7</c:v>
                </c:pt>
                <c:pt idx="86">
                  <c:v>9.9999999999999995E-7</c:v>
                </c:pt>
                <c:pt idx="87">
                  <c:v>9.9999999999999995E-7</c:v>
                </c:pt>
                <c:pt idx="88">
                  <c:v>9.9999999999999995E-7</c:v>
                </c:pt>
                <c:pt idx="89">
                  <c:v>9.9999999999999995E-7</c:v>
                </c:pt>
                <c:pt idx="90">
                  <c:v>9.9999999999999995E-7</c:v>
                </c:pt>
                <c:pt idx="91">
                  <c:v>9.9999999999999995E-7</c:v>
                </c:pt>
                <c:pt idx="92">
                  <c:v>9.9999999999999995E-7</c:v>
                </c:pt>
                <c:pt idx="93">
                  <c:v>9.9999999999999995E-7</c:v>
                </c:pt>
                <c:pt idx="94">
                  <c:v>9.9999999999999995E-7</c:v>
                </c:pt>
                <c:pt idx="95">
                  <c:v>9.9999999999999995E-7</c:v>
                </c:pt>
                <c:pt idx="96">
                  <c:v>9.9999999999999995E-7</c:v>
                </c:pt>
                <c:pt idx="97">
                  <c:v>9.9999999999999995E-7</c:v>
                </c:pt>
                <c:pt idx="98">
                  <c:v>9.9999999999999995E-7</c:v>
                </c:pt>
                <c:pt idx="99">
                  <c:v>9.9999999999999995E-7</c:v>
                </c:pt>
                <c:pt idx="100">
                  <c:v>9.9999999999999995E-7</c:v>
                </c:pt>
                <c:pt idx="101">
                  <c:v>9.9999999999999995E-7</c:v>
                </c:pt>
                <c:pt idx="102">
                  <c:v>9.9999999999999995E-7</c:v>
                </c:pt>
                <c:pt idx="103">
                  <c:v>9.9999999999999995E-7</c:v>
                </c:pt>
                <c:pt idx="104">
                  <c:v>9.9999999999999995E-7</c:v>
                </c:pt>
                <c:pt idx="105">
                  <c:v>9.9999999999999995E-7</c:v>
                </c:pt>
                <c:pt idx="106">
                  <c:v>9.9999999999999995E-7</c:v>
                </c:pt>
                <c:pt idx="107">
                  <c:v>9.9999999999999995E-7</c:v>
                </c:pt>
                <c:pt idx="108">
                  <c:v>9.9999999999999995E-7</c:v>
                </c:pt>
                <c:pt idx="109">
                  <c:v>9.9999999999999995E-7</c:v>
                </c:pt>
                <c:pt idx="110">
                  <c:v>9.9999999999999995E-7</c:v>
                </c:pt>
                <c:pt idx="111">
                  <c:v>9.9999999999999995E-7</c:v>
                </c:pt>
                <c:pt idx="112">
                  <c:v>9.9999999999999995E-7</c:v>
                </c:pt>
                <c:pt idx="113">
                  <c:v>9.9999999999999995E-7</c:v>
                </c:pt>
                <c:pt idx="114">
                  <c:v>9.9999999999999995E-7</c:v>
                </c:pt>
                <c:pt idx="115">
                  <c:v>9.9999999999999995E-7</c:v>
                </c:pt>
                <c:pt idx="116">
                  <c:v>9.9999999999999995E-7</c:v>
                </c:pt>
                <c:pt idx="117">
                  <c:v>9.9999999999999995E-7</c:v>
                </c:pt>
                <c:pt idx="118">
                  <c:v>9.9999999999999995E-7</c:v>
                </c:pt>
                <c:pt idx="119">
                  <c:v>9.9999999999999995E-7</c:v>
                </c:pt>
                <c:pt idx="120">
                  <c:v>9.9999999999999995E-7</c:v>
                </c:pt>
                <c:pt idx="121">
                  <c:v>9.9999999999999995E-7</c:v>
                </c:pt>
                <c:pt idx="122">
                  <c:v>9.9999999999999995E-7</c:v>
                </c:pt>
                <c:pt idx="123">
                  <c:v>9.9999999999999995E-7</c:v>
                </c:pt>
                <c:pt idx="124">
                  <c:v>9.9999999999999995E-7</c:v>
                </c:pt>
                <c:pt idx="125">
                  <c:v>9.9999999999999995E-7</c:v>
                </c:pt>
                <c:pt idx="126">
                  <c:v>9.9999999999999995E-7</c:v>
                </c:pt>
                <c:pt idx="127">
                  <c:v>9.9999999999999995E-7</c:v>
                </c:pt>
                <c:pt idx="128">
                  <c:v>9.9999999999999995E-7</c:v>
                </c:pt>
                <c:pt idx="129">
                  <c:v>9.9999999999999995E-7</c:v>
                </c:pt>
                <c:pt idx="130">
                  <c:v>9.9999999999999995E-7</c:v>
                </c:pt>
                <c:pt idx="131">
                  <c:v>9.9999999999999995E-7</c:v>
                </c:pt>
                <c:pt idx="132">
                  <c:v>9.9999999999999995E-7</c:v>
                </c:pt>
                <c:pt idx="133">
                  <c:v>9.9999999999999995E-7</c:v>
                </c:pt>
                <c:pt idx="134">
                  <c:v>9.9999999999999995E-7</c:v>
                </c:pt>
                <c:pt idx="135">
                  <c:v>9.9999999999999995E-7</c:v>
                </c:pt>
                <c:pt idx="136">
                  <c:v>9.9999999999999995E-7</c:v>
                </c:pt>
                <c:pt idx="137">
                  <c:v>9.9999999999999995E-7</c:v>
                </c:pt>
                <c:pt idx="138">
                  <c:v>9.9999999999999995E-7</c:v>
                </c:pt>
                <c:pt idx="139">
                  <c:v>9.9999999999999995E-7</c:v>
                </c:pt>
                <c:pt idx="140">
                  <c:v>9.9999999999999995E-7</c:v>
                </c:pt>
                <c:pt idx="141">
                  <c:v>9.9999999999999995E-7</c:v>
                </c:pt>
                <c:pt idx="142">
                  <c:v>9.9999999999999995E-7</c:v>
                </c:pt>
                <c:pt idx="143">
                  <c:v>9.9999999999999995E-7</c:v>
                </c:pt>
                <c:pt idx="144">
                  <c:v>9.9999999999999995E-7</c:v>
                </c:pt>
                <c:pt idx="145">
                  <c:v>9.9999999999999995E-7</c:v>
                </c:pt>
                <c:pt idx="146">
                  <c:v>9.9999999999999995E-7</c:v>
                </c:pt>
                <c:pt idx="147">
                  <c:v>9.9999999999999995E-7</c:v>
                </c:pt>
                <c:pt idx="148">
                  <c:v>9.9999999999999995E-7</c:v>
                </c:pt>
                <c:pt idx="149">
                  <c:v>9.9999999999999995E-7</c:v>
                </c:pt>
                <c:pt idx="150">
                  <c:v>9.9999999999999995E-7</c:v>
                </c:pt>
                <c:pt idx="151">
                  <c:v>9.9999999999999995E-7</c:v>
                </c:pt>
                <c:pt idx="152">
                  <c:v>9.9999999999999995E-7</c:v>
                </c:pt>
                <c:pt idx="153">
                  <c:v>9.9999999999999995E-7</c:v>
                </c:pt>
                <c:pt idx="154">
                  <c:v>9.9999999999999995E-7</c:v>
                </c:pt>
                <c:pt idx="155">
                  <c:v>9.9999999999999995E-7</c:v>
                </c:pt>
                <c:pt idx="156">
                  <c:v>9.9999999999999995E-7</c:v>
                </c:pt>
                <c:pt idx="157">
                  <c:v>9.9999999999999995E-7</c:v>
                </c:pt>
                <c:pt idx="158">
                  <c:v>9.9999999999999995E-7</c:v>
                </c:pt>
                <c:pt idx="159">
                  <c:v>9.9999999999999995E-7</c:v>
                </c:pt>
                <c:pt idx="160">
                  <c:v>9.9999999999999995E-7</c:v>
                </c:pt>
                <c:pt idx="161">
                  <c:v>9.9999999999999995E-7</c:v>
                </c:pt>
                <c:pt idx="162">
                  <c:v>9.9999999999999995E-7</c:v>
                </c:pt>
                <c:pt idx="163">
                  <c:v>9.9999999999999995E-7</c:v>
                </c:pt>
                <c:pt idx="164">
                  <c:v>9.9999999999999995E-7</c:v>
                </c:pt>
                <c:pt idx="165">
                  <c:v>9.9999999999999995E-7</c:v>
                </c:pt>
                <c:pt idx="166">
                  <c:v>9.9999999999999995E-7</c:v>
                </c:pt>
                <c:pt idx="167">
                  <c:v>9.9999999999999995E-7</c:v>
                </c:pt>
                <c:pt idx="168">
                  <c:v>9.9999999999999995E-7</c:v>
                </c:pt>
                <c:pt idx="169">
                  <c:v>9.9999999999999995E-7</c:v>
                </c:pt>
                <c:pt idx="170">
                  <c:v>9.9999999999999995E-7</c:v>
                </c:pt>
                <c:pt idx="171">
                  <c:v>9.9999999999999995E-7</c:v>
                </c:pt>
                <c:pt idx="172">
                  <c:v>9.9999999999999995E-7</c:v>
                </c:pt>
                <c:pt idx="173">
                  <c:v>9.9999999999999995E-7</c:v>
                </c:pt>
                <c:pt idx="174">
                  <c:v>9.9999999999999995E-7</c:v>
                </c:pt>
                <c:pt idx="175">
                  <c:v>9.9999999999999995E-7</c:v>
                </c:pt>
                <c:pt idx="176">
                  <c:v>9.9999999999999995E-7</c:v>
                </c:pt>
                <c:pt idx="177">
                  <c:v>9.9999999999999995E-7</c:v>
                </c:pt>
                <c:pt idx="178">
                  <c:v>9.9999999999999995E-7</c:v>
                </c:pt>
                <c:pt idx="179">
                  <c:v>9.9999999999999995E-7</c:v>
                </c:pt>
                <c:pt idx="180">
                  <c:v>9.9999999999999995E-7</c:v>
                </c:pt>
                <c:pt idx="181">
                  <c:v>9.9999999999999995E-7</c:v>
                </c:pt>
                <c:pt idx="182">
                  <c:v>9.9999999999999995E-7</c:v>
                </c:pt>
                <c:pt idx="183">
                  <c:v>9.9999999999999995E-7</c:v>
                </c:pt>
                <c:pt idx="184">
                  <c:v>9.9999999999999995E-7</c:v>
                </c:pt>
                <c:pt idx="185">
                  <c:v>9.9999999999999995E-7</c:v>
                </c:pt>
                <c:pt idx="186">
                  <c:v>9.9999999999999995E-7</c:v>
                </c:pt>
                <c:pt idx="187">
                  <c:v>9.9999999999999995E-7</c:v>
                </c:pt>
                <c:pt idx="188">
                  <c:v>9.9999999999999995E-7</c:v>
                </c:pt>
                <c:pt idx="189">
                  <c:v>9.9999999999999995E-7</c:v>
                </c:pt>
                <c:pt idx="190">
                  <c:v>9.9999999999999995E-7</c:v>
                </c:pt>
                <c:pt idx="191">
                  <c:v>9.9999999999999995E-7</c:v>
                </c:pt>
                <c:pt idx="192">
                  <c:v>9.9999999999999995E-7</c:v>
                </c:pt>
                <c:pt idx="193">
                  <c:v>9.9999999999999995E-7</c:v>
                </c:pt>
                <c:pt idx="194">
                  <c:v>9.9999999999999995E-7</c:v>
                </c:pt>
                <c:pt idx="195">
                  <c:v>9.9999999999999995E-7</c:v>
                </c:pt>
                <c:pt idx="196">
                  <c:v>9.9999999999999995E-7</c:v>
                </c:pt>
                <c:pt idx="197">
                  <c:v>9.9999999999999995E-7</c:v>
                </c:pt>
                <c:pt idx="198">
                  <c:v>9.9999999999999995E-7</c:v>
                </c:pt>
                <c:pt idx="199">
                  <c:v>9.9999999999999995E-7</c:v>
                </c:pt>
                <c:pt idx="200">
                  <c:v>9.9999999999999995E-7</c:v>
                </c:pt>
                <c:pt idx="201">
                  <c:v>9.9999999999999995E-7</c:v>
                </c:pt>
                <c:pt idx="202">
                  <c:v>9.9999999999999995E-7</c:v>
                </c:pt>
                <c:pt idx="203">
                  <c:v>9.9999999999999995E-7</c:v>
                </c:pt>
                <c:pt idx="204">
                  <c:v>9.9999999999999995E-7</c:v>
                </c:pt>
                <c:pt idx="205">
                  <c:v>9.9999999999999995E-7</c:v>
                </c:pt>
                <c:pt idx="206">
                  <c:v>9.9999999999999995E-7</c:v>
                </c:pt>
                <c:pt idx="207">
                  <c:v>9.9999999999999995E-7</c:v>
                </c:pt>
                <c:pt idx="208">
                  <c:v>9.9999999999999995E-7</c:v>
                </c:pt>
                <c:pt idx="209">
                  <c:v>9.9999999999999995E-7</c:v>
                </c:pt>
                <c:pt idx="210">
                  <c:v>9.9999999999999995E-7</c:v>
                </c:pt>
                <c:pt idx="211">
                  <c:v>9.9999999999999995E-7</c:v>
                </c:pt>
                <c:pt idx="212">
                  <c:v>9.9999999999999995E-7</c:v>
                </c:pt>
                <c:pt idx="213">
                  <c:v>9.9999999999999995E-7</c:v>
                </c:pt>
                <c:pt idx="214">
                  <c:v>9.9999999999999995E-7</c:v>
                </c:pt>
                <c:pt idx="215">
                  <c:v>9.9999999999999995E-7</c:v>
                </c:pt>
                <c:pt idx="216">
                  <c:v>9.9999999999999995E-7</c:v>
                </c:pt>
                <c:pt idx="217">
                  <c:v>9.9999999999999995E-7</c:v>
                </c:pt>
                <c:pt idx="218">
                  <c:v>9.9999999999999995E-7</c:v>
                </c:pt>
                <c:pt idx="219">
                  <c:v>9.9999999999999995E-7</c:v>
                </c:pt>
                <c:pt idx="220">
                  <c:v>9.9999999999999995E-7</c:v>
                </c:pt>
                <c:pt idx="221">
                  <c:v>9.9999999999999995E-7</c:v>
                </c:pt>
                <c:pt idx="222">
                  <c:v>9.9999999999999995E-7</c:v>
                </c:pt>
                <c:pt idx="223">
                  <c:v>9.9999999999999995E-7</c:v>
                </c:pt>
                <c:pt idx="224">
                  <c:v>9.9999999999999995E-7</c:v>
                </c:pt>
                <c:pt idx="225">
                  <c:v>9.9999999999999995E-7</c:v>
                </c:pt>
                <c:pt idx="226">
                  <c:v>9.9999999999999995E-7</c:v>
                </c:pt>
                <c:pt idx="227">
                  <c:v>9.9999999999999995E-7</c:v>
                </c:pt>
                <c:pt idx="228">
                  <c:v>9.9999999999999995E-7</c:v>
                </c:pt>
                <c:pt idx="229">
                  <c:v>9.9999999999999995E-7</c:v>
                </c:pt>
                <c:pt idx="230">
                  <c:v>9.9999999999999995E-7</c:v>
                </c:pt>
                <c:pt idx="231">
                  <c:v>9.9999999999999995E-7</c:v>
                </c:pt>
                <c:pt idx="232">
                  <c:v>9.9999999999999995E-7</c:v>
                </c:pt>
                <c:pt idx="233">
                  <c:v>9.9999999999999995E-7</c:v>
                </c:pt>
                <c:pt idx="234">
                  <c:v>9.9999999999999995E-7</c:v>
                </c:pt>
                <c:pt idx="235">
                  <c:v>9.9999999999999995E-7</c:v>
                </c:pt>
                <c:pt idx="236">
                  <c:v>9.9999999999999995E-7</c:v>
                </c:pt>
                <c:pt idx="237">
                  <c:v>9.9999999999999995E-7</c:v>
                </c:pt>
                <c:pt idx="238">
                  <c:v>9.9999999999999995E-7</c:v>
                </c:pt>
                <c:pt idx="239">
                  <c:v>9.9999999999999995E-7</c:v>
                </c:pt>
                <c:pt idx="240">
                  <c:v>9.9999999999999995E-7</c:v>
                </c:pt>
                <c:pt idx="241">
                  <c:v>9.9999999999999995E-7</c:v>
                </c:pt>
                <c:pt idx="242">
                  <c:v>9.9999999999999995E-7</c:v>
                </c:pt>
                <c:pt idx="243">
                  <c:v>9.9999999999999995E-7</c:v>
                </c:pt>
                <c:pt idx="244">
                  <c:v>9.9999999999999995E-7</c:v>
                </c:pt>
                <c:pt idx="245">
                  <c:v>9.9999999999999995E-7</c:v>
                </c:pt>
                <c:pt idx="246">
                  <c:v>9.9999999999999995E-7</c:v>
                </c:pt>
                <c:pt idx="247">
                  <c:v>9.9999999999999995E-7</c:v>
                </c:pt>
                <c:pt idx="248">
                  <c:v>9.9999999999999995E-7</c:v>
                </c:pt>
                <c:pt idx="249">
                  <c:v>9.9999999999999995E-7</c:v>
                </c:pt>
                <c:pt idx="250">
                  <c:v>9.9999999999999995E-7</c:v>
                </c:pt>
                <c:pt idx="251">
                  <c:v>9.9999999999999995E-7</c:v>
                </c:pt>
                <c:pt idx="252">
                  <c:v>9.9999999999999995E-7</c:v>
                </c:pt>
                <c:pt idx="253">
                  <c:v>9.9999999999999995E-7</c:v>
                </c:pt>
                <c:pt idx="254">
                  <c:v>9.9999999999999995E-7</c:v>
                </c:pt>
                <c:pt idx="255">
                  <c:v>9.9999999999999995E-7</c:v>
                </c:pt>
                <c:pt idx="256">
                  <c:v>9.9999999999999995E-7</c:v>
                </c:pt>
                <c:pt idx="257">
                  <c:v>9.9999999999999995E-7</c:v>
                </c:pt>
                <c:pt idx="258">
                  <c:v>9.9999999999999995E-7</c:v>
                </c:pt>
                <c:pt idx="259">
                  <c:v>9.9999999999999995E-7</c:v>
                </c:pt>
                <c:pt idx="260">
                  <c:v>9.9999999999999995E-7</c:v>
                </c:pt>
                <c:pt idx="261">
                  <c:v>9.9999999999999995E-7</c:v>
                </c:pt>
                <c:pt idx="262">
                  <c:v>9.9999999999999995E-7</c:v>
                </c:pt>
                <c:pt idx="263">
                  <c:v>9.9999999999999995E-7</c:v>
                </c:pt>
                <c:pt idx="264">
                  <c:v>9.9999999999999995E-7</c:v>
                </c:pt>
                <c:pt idx="265">
                  <c:v>9.9999999999999995E-7</c:v>
                </c:pt>
                <c:pt idx="266">
                  <c:v>9.9999999999999995E-7</c:v>
                </c:pt>
                <c:pt idx="267">
                  <c:v>9.9999999999999995E-7</c:v>
                </c:pt>
                <c:pt idx="268">
                  <c:v>9.9999999999999995E-7</c:v>
                </c:pt>
                <c:pt idx="269">
                  <c:v>9.9999999999999995E-7</c:v>
                </c:pt>
                <c:pt idx="270">
                  <c:v>9.9999999999999995E-7</c:v>
                </c:pt>
                <c:pt idx="271">
                  <c:v>9.9999999999999995E-7</c:v>
                </c:pt>
                <c:pt idx="272">
                  <c:v>9.9999999999999995E-7</c:v>
                </c:pt>
                <c:pt idx="273">
                  <c:v>9.9999999999999995E-7</c:v>
                </c:pt>
                <c:pt idx="274">
                  <c:v>9.9999999999999995E-7</c:v>
                </c:pt>
                <c:pt idx="275">
                  <c:v>9.9999999999999995E-7</c:v>
                </c:pt>
                <c:pt idx="276">
                  <c:v>9.9999999999999995E-7</c:v>
                </c:pt>
                <c:pt idx="277">
                  <c:v>9.9999999999999995E-7</c:v>
                </c:pt>
                <c:pt idx="278">
                  <c:v>9.9999999999999995E-7</c:v>
                </c:pt>
                <c:pt idx="279">
                  <c:v>9.9999999999999995E-7</c:v>
                </c:pt>
                <c:pt idx="280">
                  <c:v>9.9999999999999995E-7</c:v>
                </c:pt>
                <c:pt idx="281">
                  <c:v>9.9999999999999995E-7</c:v>
                </c:pt>
                <c:pt idx="282">
                  <c:v>9.9999999999999995E-7</c:v>
                </c:pt>
                <c:pt idx="283">
                  <c:v>9.9999999999999995E-7</c:v>
                </c:pt>
                <c:pt idx="284">
                  <c:v>9.9999999999999995E-7</c:v>
                </c:pt>
                <c:pt idx="285">
                  <c:v>9.9999999999999995E-7</c:v>
                </c:pt>
                <c:pt idx="286">
                  <c:v>9.9999999999999995E-7</c:v>
                </c:pt>
                <c:pt idx="287">
                  <c:v>9.9999999999999995E-7</c:v>
                </c:pt>
                <c:pt idx="288">
                  <c:v>9.9999999999999995E-7</c:v>
                </c:pt>
                <c:pt idx="289">
                  <c:v>9.9999999999999995E-7</c:v>
                </c:pt>
                <c:pt idx="290">
                  <c:v>9.9999999999999995E-7</c:v>
                </c:pt>
                <c:pt idx="291">
                  <c:v>9.9999999999999995E-7</c:v>
                </c:pt>
                <c:pt idx="292">
                  <c:v>9.9999999999999995E-7</c:v>
                </c:pt>
                <c:pt idx="293">
                  <c:v>9.9999999999999995E-7</c:v>
                </c:pt>
                <c:pt idx="294">
                  <c:v>9.9999999999999995E-7</c:v>
                </c:pt>
                <c:pt idx="295">
                  <c:v>9.9999999999999995E-7</c:v>
                </c:pt>
                <c:pt idx="296">
                  <c:v>9.9999999999999995E-7</c:v>
                </c:pt>
                <c:pt idx="297">
                  <c:v>9.9999999999999995E-7</c:v>
                </c:pt>
                <c:pt idx="298">
                  <c:v>9.9999999999999995E-7</c:v>
                </c:pt>
                <c:pt idx="299">
                  <c:v>9.9999999999999995E-7</c:v>
                </c:pt>
                <c:pt idx="300">
                  <c:v>9.9999999999999995E-7</c:v>
                </c:pt>
                <c:pt idx="301">
                  <c:v>9.9999999999999995E-7</c:v>
                </c:pt>
                <c:pt idx="302">
                  <c:v>9.9999999999999995E-7</c:v>
                </c:pt>
                <c:pt idx="303">
                  <c:v>9.9999999999999995E-7</c:v>
                </c:pt>
                <c:pt idx="304">
                  <c:v>9.9999999999999995E-7</c:v>
                </c:pt>
                <c:pt idx="305">
                  <c:v>9.9999999999999995E-7</c:v>
                </c:pt>
                <c:pt idx="306">
                  <c:v>9.9999999999999995E-7</c:v>
                </c:pt>
                <c:pt idx="307">
                  <c:v>9.9999999999999995E-7</c:v>
                </c:pt>
                <c:pt idx="308">
                  <c:v>9.9999999999999995E-7</c:v>
                </c:pt>
                <c:pt idx="309">
                  <c:v>9.9999999999999995E-7</c:v>
                </c:pt>
                <c:pt idx="310">
                  <c:v>9.9999999999999995E-7</c:v>
                </c:pt>
                <c:pt idx="311">
                  <c:v>9.9999999999999995E-7</c:v>
                </c:pt>
                <c:pt idx="312">
                  <c:v>9.9999999999999995E-7</c:v>
                </c:pt>
                <c:pt idx="313">
                  <c:v>9.9999999999999995E-7</c:v>
                </c:pt>
                <c:pt idx="314">
                  <c:v>9.9999999999999995E-7</c:v>
                </c:pt>
                <c:pt idx="315">
                  <c:v>9.9999999999999995E-7</c:v>
                </c:pt>
                <c:pt idx="316">
                  <c:v>9.9999999999999995E-7</c:v>
                </c:pt>
                <c:pt idx="317">
                  <c:v>9.9999999999999995E-7</c:v>
                </c:pt>
                <c:pt idx="318">
                  <c:v>9.9999999999999995E-7</c:v>
                </c:pt>
                <c:pt idx="319">
                  <c:v>9.9999999999999995E-7</c:v>
                </c:pt>
                <c:pt idx="320">
                  <c:v>9.9999999999999995E-7</c:v>
                </c:pt>
                <c:pt idx="321">
                  <c:v>9.9999999999999995E-7</c:v>
                </c:pt>
                <c:pt idx="322">
                  <c:v>9.9999999999999995E-7</c:v>
                </c:pt>
                <c:pt idx="323">
                  <c:v>9.9999999999999995E-7</c:v>
                </c:pt>
                <c:pt idx="324">
                  <c:v>9.9999999999999995E-7</c:v>
                </c:pt>
                <c:pt idx="325">
                  <c:v>9.9999999999999995E-7</c:v>
                </c:pt>
                <c:pt idx="326">
                  <c:v>9.9999999999999995E-7</c:v>
                </c:pt>
                <c:pt idx="327">
                  <c:v>9.9999999999999995E-7</c:v>
                </c:pt>
                <c:pt idx="328">
                  <c:v>9.9999999999999995E-7</c:v>
                </c:pt>
                <c:pt idx="329">
                  <c:v>9.9999999999999995E-7</c:v>
                </c:pt>
                <c:pt idx="330">
                  <c:v>9.9999999999999995E-7</c:v>
                </c:pt>
                <c:pt idx="331">
                  <c:v>9.9999999999999995E-7</c:v>
                </c:pt>
                <c:pt idx="332">
                  <c:v>9.9999999999999995E-7</c:v>
                </c:pt>
                <c:pt idx="333">
                  <c:v>9.9999999999999995E-7</c:v>
                </c:pt>
                <c:pt idx="334">
                  <c:v>9.9999999999999995E-7</c:v>
                </c:pt>
                <c:pt idx="335">
                  <c:v>9.9999999999999995E-7</c:v>
                </c:pt>
                <c:pt idx="336">
                  <c:v>9.9999999999999995E-7</c:v>
                </c:pt>
                <c:pt idx="337">
                  <c:v>9.9999999999999995E-7</c:v>
                </c:pt>
                <c:pt idx="338">
                  <c:v>9.9999999999999995E-7</c:v>
                </c:pt>
                <c:pt idx="339">
                  <c:v>9.9999999999999995E-7</c:v>
                </c:pt>
                <c:pt idx="340">
                  <c:v>9.9999999999999995E-7</c:v>
                </c:pt>
                <c:pt idx="341">
                  <c:v>9.9999999999999995E-7</c:v>
                </c:pt>
                <c:pt idx="342">
                  <c:v>9.9999999999999995E-7</c:v>
                </c:pt>
                <c:pt idx="343">
                  <c:v>9.9999999999999995E-7</c:v>
                </c:pt>
                <c:pt idx="344">
                  <c:v>9.9999999999999995E-7</c:v>
                </c:pt>
                <c:pt idx="345">
                  <c:v>9.9999999999999995E-7</c:v>
                </c:pt>
                <c:pt idx="346">
                  <c:v>9.9999999999999995E-7</c:v>
                </c:pt>
                <c:pt idx="347">
                  <c:v>9.9999999999999995E-7</c:v>
                </c:pt>
                <c:pt idx="348">
                  <c:v>9.9999999999999995E-7</c:v>
                </c:pt>
                <c:pt idx="349">
                  <c:v>9.9999999999999995E-7</c:v>
                </c:pt>
                <c:pt idx="350">
                  <c:v>9.9999999999999995E-7</c:v>
                </c:pt>
                <c:pt idx="351">
                  <c:v>9.9999999999999995E-7</c:v>
                </c:pt>
                <c:pt idx="352">
                  <c:v>9.9999999999999995E-7</c:v>
                </c:pt>
                <c:pt idx="353">
                  <c:v>9.9999999999999995E-7</c:v>
                </c:pt>
                <c:pt idx="354">
                  <c:v>9.9999999999999995E-7</c:v>
                </c:pt>
                <c:pt idx="355">
                  <c:v>9.9999999999999995E-7</c:v>
                </c:pt>
                <c:pt idx="356">
                  <c:v>9.9999999999999995E-7</c:v>
                </c:pt>
                <c:pt idx="357">
                  <c:v>9.9999999999999995E-7</c:v>
                </c:pt>
                <c:pt idx="358">
                  <c:v>9.9999999999999995E-7</c:v>
                </c:pt>
                <c:pt idx="359">
                  <c:v>9.9999999999999995E-7</c:v>
                </c:pt>
                <c:pt idx="360">
                  <c:v>9.9999999999999995E-7</c:v>
                </c:pt>
                <c:pt idx="361">
                  <c:v>9.9999999999999995E-7</c:v>
                </c:pt>
                <c:pt idx="362">
                  <c:v>9.9999999999999995E-7</c:v>
                </c:pt>
                <c:pt idx="363">
                  <c:v>9.9999999999999995E-7</c:v>
                </c:pt>
                <c:pt idx="364">
                  <c:v>9.9999999999999995E-7</c:v>
                </c:pt>
              </c:numCache>
            </c:numRef>
          </c:val>
          <c:smooth val="0"/>
          <c:extLst>
            <c:ext xmlns:c16="http://schemas.microsoft.com/office/drawing/2014/chart" uri="{C3380CC4-5D6E-409C-BE32-E72D297353CC}">
              <c16:uniqueId val="{00000000-85C5-4309-8DD0-0FD1664A4E4E}"/>
            </c:ext>
          </c:extLst>
        </c:ser>
        <c:ser>
          <c:idx val="1"/>
          <c:order val="1"/>
          <c:tx>
            <c:strRef>
              <c:f>'JSM GM A198'!$E$54</c:f>
              <c:strCache>
                <c:ptCount val="1"/>
                <c:pt idx="0">
                  <c:v>mittleres Frischwasser</c:v>
                </c:pt>
              </c:strCache>
            </c:strRef>
          </c:tx>
          <c:spPr>
            <a:ln w="38100">
              <a:solidFill>
                <a:srgbClr val="0000FF"/>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A198'!$E$55:$E$419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1-85C5-4309-8DD0-0FD1664A4E4E}"/>
            </c:ext>
          </c:extLst>
        </c:ser>
        <c:ser>
          <c:idx val="2"/>
          <c:order val="2"/>
          <c:tx>
            <c:strRef>
              <c:f>'JSM GM A198'!$F$54</c:f>
              <c:strCache>
                <c:ptCount val="1"/>
                <c:pt idx="0">
                  <c:v>gleitendes Minimum   </c:v>
                </c:pt>
              </c:strCache>
            </c:strRef>
          </c:tx>
          <c:spPr>
            <a:ln w="38100">
              <a:solidFill>
                <a:srgbClr val="800000"/>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A198'!$F$55:$F$419</c:f>
              <c:numCache>
                <c:formatCode>0</c:formatCode>
                <c:ptCount val="365"/>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formatCode="0.00">
                  <c:v>9.9999999999999995E-7</c:v>
                </c:pt>
                <c:pt idx="11" formatCode="0.00">
                  <c:v>9.9999999999999995E-7</c:v>
                </c:pt>
                <c:pt idx="12" formatCode="0.00">
                  <c:v>9.9999999999999995E-7</c:v>
                </c:pt>
                <c:pt idx="13" formatCode="0.00">
                  <c:v>9.9999999999999995E-7</c:v>
                </c:pt>
                <c:pt idx="14" formatCode="0.00">
                  <c:v>9.9999999999999995E-7</c:v>
                </c:pt>
                <c:pt idx="15" formatCode="0.00">
                  <c:v>9.9999999999999995E-7</c:v>
                </c:pt>
                <c:pt idx="16" formatCode="0.00">
                  <c:v>9.9999999999999995E-7</c:v>
                </c:pt>
                <c:pt idx="17" formatCode="0.00">
                  <c:v>9.9999999999999995E-7</c:v>
                </c:pt>
                <c:pt idx="18" formatCode="0.00">
                  <c:v>9.9999999999999995E-7</c:v>
                </c:pt>
                <c:pt idx="19" formatCode="0.00">
                  <c:v>9.9999999999999995E-7</c:v>
                </c:pt>
                <c:pt idx="20" formatCode="0.00">
                  <c:v>9.9999999999999995E-7</c:v>
                </c:pt>
                <c:pt idx="21" formatCode="0.00">
                  <c:v>9.9999999999999995E-7</c:v>
                </c:pt>
                <c:pt idx="22" formatCode="0.00">
                  <c:v>9.9999999999999995E-7</c:v>
                </c:pt>
                <c:pt idx="23" formatCode="0.00">
                  <c:v>9.9999999999999995E-7</c:v>
                </c:pt>
                <c:pt idx="24" formatCode="0.00">
                  <c:v>9.9999999999999995E-7</c:v>
                </c:pt>
                <c:pt idx="25" formatCode="0.00">
                  <c:v>9.9999999999999995E-7</c:v>
                </c:pt>
                <c:pt idx="26" formatCode="0.00">
                  <c:v>9.9999999999999995E-7</c:v>
                </c:pt>
                <c:pt idx="27" formatCode="0.00">
                  <c:v>9.9999999999999995E-7</c:v>
                </c:pt>
                <c:pt idx="28" formatCode="0.00">
                  <c:v>9.9999999999999995E-7</c:v>
                </c:pt>
                <c:pt idx="29" formatCode="0.00">
                  <c:v>9.9999999999999995E-7</c:v>
                </c:pt>
                <c:pt idx="30" formatCode="0.00">
                  <c:v>9.9999999999999995E-7</c:v>
                </c:pt>
                <c:pt idx="31" formatCode="0.00">
                  <c:v>9.9999999999999995E-7</c:v>
                </c:pt>
                <c:pt idx="32" formatCode="0.00">
                  <c:v>9.9999999999999995E-7</c:v>
                </c:pt>
                <c:pt idx="33" formatCode="0.00">
                  <c:v>9.9999999999999995E-7</c:v>
                </c:pt>
                <c:pt idx="34" formatCode="0.00">
                  <c:v>9.9999999999999995E-7</c:v>
                </c:pt>
                <c:pt idx="35" formatCode="0.00">
                  <c:v>9.9999999999999995E-7</c:v>
                </c:pt>
                <c:pt idx="36" formatCode="0.00">
                  <c:v>9.9999999999999995E-7</c:v>
                </c:pt>
                <c:pt idx="37" formatCode="0.00">
                  <c:v>9.9999999999999995E-7</c:v>
                </c:pt>
                <c:pt idx="38" formatCode="0.00">
                  <c:v>9.9999999999999995E-7</c:v>
                </c:pt>
                <c:pt idx="39" formatCode="0.00">
                  <c:v>9.9999999999999995E-7</c:v>
                </c:pt>
                <c:pt idx="40" formatCode="0.00">
                  <c:v>9.9999999999999995E-7</c:v>
                </c:pt>
                <c:pt idx="41" formatCode="0.00">
                  <c:v>9.9999999999999995E-7</c:v>
                </c:pt>
                <c:pt idx="42" formatCode="0.00">
                  <c:v>9.9999999999999995E-7</c:v>
                </c:pt>
                <c:pt idx="43" formatCode="0.00">
                  <c:v>9.9999999999999995E-7</c:v>
                </c:pt>
                <c:pt idx="44" formatCode="0.00">
                  <c:v>9.9999999999999995E-7</c:v>
                </c:pt>
                <c:pt idx="45" formatCode="0.00">
                  <c:v>9.9999999999999995E-7</c:v>
                </c:pt>
                <c:pt idx="46" formatCode="0.00">
                  <c:v>9.9999999999999995E-7</c:v>
                </c:pt>
                <c:pt idx="47" formatCode="0.00">
                  <c:v>9.9999999999999995E-7</c:v>
                </c:pt>
                <c:pt idx="48" formatCode="0.00">
                  <c:v>9.9999999999999995E-7</c:v>
                </c:pt>
                <c:pt idx="49" formatCode="0.00">
                  <c:v>9.9999999999999995E-7</c:v>
                </c:pt>
                <c:pt idx="50" formatCode="0.00">
                  <c:v>9.9999999999999995E-7</c:v>
                </c:pt>
                <c:pt idx="51" formatCode="0.00">
                  <c:v>9.9999999999999995E-7</c:v>
                </c:pt>
                <c:pt idx="52" formatCode="0.00">
                  <c:v>9.9999999999999995E-7</c:v>
                </c:pt>
                <c:pt idx="53" formatCode="0.00">
                  <c:v>9.9999999999999995E-7</c:v>
                </c:pt>
                <c:pt idx="54" formatCode="0.00">
                  <c:v>9.9999999999999995E-7</c:v>
                </c:pt>
                <c:pt idx="55" formatCode="0.00">
                  <c:v>9.9999999999999995E-7</c:v>
                </c:pt>
                <c:pt idx="56" formatCode="0.00">
                  <c:v>9.9999999999999995E-7</c:v>
                </c:pt>
                <c:pt idx="57" formatCode="0.00">
                  <c:v>9.9999999999999995E-7</c:v>
                </c:pt>
                <c:pt idx="58" formatCode="0.00">
                  <c:v>9.9999999999999995E-7</c:v>
                </c:pt>
                <c:pt idx="59" formatCode="0.00">
                  <c:v>9.9999999999999995E-7</c:v>
                </c:pt>
                <c:pt idx="60" formatCode="0.00">
                  <c:v>9.9999999999999995E-7</c:v>
                </c:pt>
                <c:pt idx="61" formatCode="0.00">
                  <c:v>9.9999999999999995E-7</c:v>
                </c:pt>
                <c:pt idx="62" formatCode="0.00">
                  <c:v>9.9999999999999995E-7</c:v>
                </c:pt>
                <c:pt idx="63" formatCode="0.00">
                  <c:v>9.9999999999999995E-7</c:v>
                </c:pt>
                <c:pt idx="64" formatCode="0.00">
                  <c:v>9.9999999999999995E-7</c:v>
                </c:pt>
                <c:pt idx="65" formatCode="0.00">
                  <c:v>9.9999999999999995E-7</c:v>
                </c:pt>
                <c:pt idx="66" formatCode="0.00">
                  <c:v>9.9999999999999995E-7</c:v>
                </c:pt>
                <c:pt idx="67" formatCode="0.00">
                  <c:v>9.9999999999999995E-7</c:v>
                </c:pt>
                <c:pt idx="68" formatCode="0.00">
                  <c:v>9.9999999999999995E-7</c:v>
                </c:pt>
                <c:pt idx="69" formatCode="0.00">
                  <c:v>9.9999999999999995E-7</c:v>
                </c:pt>
                <c:pt idx="70" formatCode="0.00">
                  <c:v>9.9999999999999995E-7</c:v>
                </c:pt>
                <c:pt idx="71" formatCode="0.00">
                  <c:v>9.9999999999999995E-7</c:v>
                </c:pt>
                <c:pt idx="72" formatCode="0.00">
                  <c:v>9.9999999999999995E-7</c:v>
                </c:pt>
                <c:pt idx="73" formatCode="0.00">
                  <c:v>9.9999999999999995E-7</c:v>
                </c:pt>
                <c:pt idx="74" formatCode="0.00">
                  <c:v>9.9999999999999995E-7</c:v>
                </c:pt>
                <c:pt idx="75" formatCode="0.00">
                  <c:v>9.9999999999999995E-7</c:v>
                </c:pt>
                <c:pt idx="76" formatCode="0.00">
                  <c:v>9.9999999999999995E-7</c:v>
                </c:pt>
                <c:pt idx="77" formatCode="0.00">
                  <c:v>9.9999999999999995E-7</c:v>
                </c:pt>
                <c:pt idx="78" formatCode="0.00">
                  <c:v>9.9999999999999995E-7</c:v>
                </c:pt>
                <c:pt idx="79" formatCode="0.00">
                  <c:v>9.9999999999999995E-7</c:v>
                </c:pt>
                <c:pt idx="80" formatCode="0.00">
                  <c:v>9.9999999999999995E-7</c:v>
                </c:pt>
                <c:pt idx="81" formatCode="0.00">
                  <c:v>9.9999999999999995E-7</c:v>
                </c:pt>
                <c:pt idx="82" formatCode="0.00">
                  <c:v>9.9999999999999995E-7</c:v>
                </c:pt>
                <c:pt idx="83" formatCode="0.00">
                  <c:v>9.9999999999999995E-7</c:v>
                </c:pt>
                <c:pt idx="84" formatCode="0.00">
                  <c:v>9.9999999999999995E-7</c:v>
                </c:pt>
                <c:pt idx="85" formatCode="0.00">
                  <c:v>9.9999999999999995E-7</c:v>
                </c:pt>
                <c:pt idx="86" formatCode="0.00">
                  <c:v>9.9999999999999995E-7</c:v>
                </c:pt>
                <c:pt idx="87" formatCode="0.00">
                  <c:v>9.9999999999999995E-7</c:v>
                </c:pt>
                <c:pt idx="88" formatCode="0.00">
                  <c:v>9.9999999999999995E-7</c:v>
                </c:pt>
                <c:pt idx="89" formatCode="0.00">
                  <c:v>9.9999999999999995E-7</c:v>
                </c:pt>
                <c:pt idx="90" formatCode="0.00">
                  <c:v>9.9999999999999995E-7</c:v>
                </c:pt>
                <c:pt idx="91" formatCode="0.00">
                  <c:v>9.9999999999999995E-7</c:v>
                </c:pt>
                <c:pt idx="92" formatCode="0.00">
                  <c:v>9.9999999999999995E-7</c:v>
                </c:pt>
                <c:pt idx="93" formatCode="0.00">
                  <c:v>9.9999999999999995E-7</c:v>
                </c:pt>
                <c:pt idx="94" formatCode="0.00">
                  <c:v>9.9999999999999995E-7</c:v>
                </c:pt>
                <c:pt idx="95" formatCode="0.00">
                  <c:v>9.9999999999999995E-7</c:v>
                </c:pt>
                <c:pt idx="96" formatCode="0.00">
                  <c:v>9.9999999999999995E-7</c:v>
                </c:pt>
                <c:pt idx="97" formatCode="0.00">
                  <c:v>9.9999999999999995E-7</c:v>
                </c:pt>
                <c:pt idx="98" formatCode="0.00">
                  <c:v>9.9999999999999995E-7</c:v>
                </c:pt>
                <c:pt idx="99" formatCode="0.00">
                  <c:v>9.9999999999999995E-7</c:v>
                </c:pt>
                <c:pt idx="100" formatCode="0.00">
                  <c:v>9.9999999999999995E-7</c:v>
                </c:pt>
                <c:pt idx="101" formatCode="0.00">
                  <c:v>9.9999999999999995E-7</c:v>
                </c:pt>
                <c:pt idx="102" formatCode="0.00">
                  <c:v>9.9999999999999995E-7</c:v>
                </c:pt>
                <c:pt idx="103" formatCode="0.00">
                  <c:v>9.9999999999999995E-7</c:v>
                </c:pt>
                <c:pt idx="104" formatCode="0.00">
                  <c:v>9.9999999999999995E-7</c:v>
                </c:pt>
                <c:pt idx="105" formatCode="0.00">
                  <c:v>9.9999999999999995E-7</c:v>
                </c:pt>
                <c:pt idx="106" formatCode="0.00">
                  <c:v>9.9999999999999995E-7</c:v>
                </c:pt>
                <c:pt idx="107" formatCode="0.00">
                  <c:v>9.9999999999999995E-7</c:v>
                </c:pt>
                <c:pt idx="108" formatCode="0.00">
                  <c:v>9.9999999999999995E-7</c:v>
                </c:pt>
                <c:pt idx="109" formatCode="0.00">
                  <c:v>9.9999999999999995E-7</c:v>
                </c:pt>
                <c:pt idx="110" formatCode="0.00">
                  <c:v>9.9999999999999995E-7</c:v>
                </c:pt>
                <c:pt idx="111" formatCode="0.00">
                  <c:v>9.9999999999999995E-7</c:v>
                </c:pt>
                <c:pt idx="112" formatCode="0.00">
                  <c:v>9.9999999999999995E-7</c:v>
                </c:pt>
                <c:pt idx="113" formatCode="0.00">
                  <c:v>9.9999999999999995E-7</c:v>
                </c:pt>
                <c:pt idx="114" formatCode="0.00">
                  <c:v>9.9999999999999995E-7</c:v>
                </c:pt>
                <c:pt idx="115" formatCode="0.00">
                  <c:v>9.9999999999999995E-7</c:v>
                </c:pt>
                <c:pt idx="116" formatCode="0.00">
                  <c:v>9.9999999999999995E-7</c:v>
                </c:pt>
                <c:pt idx="117" formatCode="0.00">
                  <c:v>9.9999999999999995E-7</c:v>
                </c:pt>
                <c:pt idx="118" formatCode="0.00">
                  <c:v>9.9999999999999995E-7</c:v>
                </c:pt>
                <c:pt idx="119" formatCode="0.00">
                  <c:v>9.9999999999999995E-7</c:v>
                </c:pt>
                <c:pt idx="120" formatCode="0.00">
                  <c:v>9.9999999999999995E-7</c:v>
                </c:pt>
                <c:pt idx="121" formatCode="0.00">
                  <c:v>9.9999999999999995E-7</c:v>
                </c:pt>
                <c:pt idx="122" formatCode="0.00">
                  <c:v>9.9999999999999995E-7</c:v>
                </c:pt>
                <c:pt idx="123" formatCode="0.00">
                  <c:v>9.9999999999999995E-7</c:v>
                </c:pt>
                <c:pt idx="124" formatCode="0.00">
                  <c:v>9.9999999999999995E-7</c:v>
                </c:pt>
                <c:pt idx="125" formatCode="0.00">
                  <c:v>9.9999999999999995E-7</c:v>
                </c:pt>
                <c:pt idx="126" formatCode="0.00">
                  <c:v>9.9999999999999995E-7</c:v>
                </c:pt>
                <c:pt idx="127" formatCode="0.00">
                  <c:v>9.9999999999999995E-7</c:v>
                </c:pt>
                <c:pt idx="128" formatCode="0.00">
                  <c:v>9.9999999999999995E-7</c:v>
                </c:pt>
                <c:pt idx="129" formatCode="0.00">
                  <c:v>9.9999999999999995E-7</c:v>
                </c:pt>
                <c:pt idx="130" formatCode="0.00">
                  <c:v>9.9999999999999995E-7</c:v>
                </c:pt>
                <c:pt idx="131" formatCode="0.00">
                  <c:v>9.9999999999999995E-7</c:v>
                </c:pt>
                <c:pt idx="132" formatCode="0.00">
                  <c:v>9.9999999999999995E-7</c:v>
                </c:pt>
                <c:pt idx="133" formatCode="0.00">
                  <c:v>9.9999999999999995E-7</c:v>
                </c:pt>
                <c:pt idx="134" formatCode="0.00">
                  <c:v>9.9999999999999995E-7</c:v>
                </c:pt>
                <c:pt idx="135" formatCode="0.00">
                  <c:v>9.9999999999999995E-7</c:v>
                </c:pt>
                <c:pt idx="136" formatCode="0.00">
                  <c:v>9.9999999999999995E-7</c:v>
                </c:pt>
                <c:pt idx="137" formatCode="0.00">
                  <c:v>9.9999999999999995E-7</c:v>
                </c:pt>
                <c:pt idx="138" formatCode="0.00">
                  <c:v>9.9999999999999995E-7</c:v>
                </c:pt>
                <c:pt idx="139" formatCode="0.00">
                  <c:v>9.9999999999999995E-7</c:v>
                </c:pt>
                <c:pt idx="140" formatCode="0.00">
                  <c:v>9.9999999999999995E-7</c:v>
                </c:pt>
                <c:pt idx="141" formatCode="0.00">
                  <c:v>9.9999999999999995E-7</c:v>
                </c:pt>
                <c:pt idx="142" formatCode="0.00">
                  <c:v>9.9999999999999995E-7</c:v>
                </c:pt>
                <c:pt idx="143" formatCode="0.00">
                  <c:v>9.9999999999999995E-7</c:v>
                </c:pt>
                <c:pt idx="144" formatCode="0.00">
                  <c:v>9.9999999999999995E-7</c:v>
                </c:pt>
                <c:pt idx="145" formatCode="0.00">
                  <c:v>9.9999999999999995E-7</c:v>
                </c:pt>
                <c:pt idx="146" formatCode="0.00">
                  <c:v>9.9999999999999995E-7</c:v>
                </c:pt>
                <c:pt idx="147" formatCode="0.00">
                  <c:v>9.9999999999999995E-7</c:v>
                </c:pt>
                <c:pt idx="148" formatCode="0.00">
                  <c:v>9.9999999999999995E-7</c:v>
                </c:pt>
                <c:pt idx="149" formatCode="0.00">
                  <c:v>9.9999999999999995E-7</c:v>
                </c:pt>
                <c:pt idx="150" formatCode="0.00">
                  <c:v>9.9999999999999995E-7</c:v>
                </c:pt>
                <c:pt idx="151" formatCode="0.00">
                  <c:v>9.9999999999999995E-7</c:v>
                </c:pt>
                <c:pt idx="152" formatCode="0.00">
                  <c:v>9.9999999999999995E-7</c:v>
                </c:pt>
                <c:pt idx="153" formatCode="0.00">
                  <c:v>9.9999999999999995E-7</c:v>
                </c:pt>
                <c:pt idx="154" formatCode="0.00">
                  <c:v>9.9999999999999995E-7</c:v>
                </c:pt>
                <c:pt idx="155" formatCode="0.00">
                  <c:v>9.9999999999999995E-7</c:v>
                </c:pt>
                <c:pt idx="156" formatCode="0.00">
                  <c:v>9.9999999999999995E-7</c:v>
                </c:pt>
                <c:pt idx="157" formatCode="0.00">
                  <c:v>9.9999999999999995E-7</c:v>
                </c:pt>
                <c:pt idx="158" formatCode="0.00">
                  <c:v>9.9999999999999995E-7</c:v>
                </c:pt>
                <c:pt idx="159" formatCode="0.00">
                  <c:v>9.9999999999999995E-7</c:v>
                </c:pt>
                <c:pt idx="160" formatCode="0.00">
                  <c:v>9.9999999999999995E-7</c:v>
                </c:pt>
                <c:pt idx="161" formatCode="0.00">
                  <c:v>9.9999999999999995E-7</c:v>
                </c:pt>
                <c:pt idx="162" formatCode="0.00">
                  <c:v>9.9999999999999995E-7</c:v>
                </c:pt>
                <c:pt idx="163" formatCode="0.00">
                  <c:v>9.9999999999999995E-7</c:v>
                </c:pt>
                <c:pt idx="164" formatCode="0.00">
                  <c:v>9.9999999999999995E-7</c:v>
                </c:pt>
                <c:pt idx="165" formatCode="0.00">
                  <c:v>9.9999999999999995E-7</c:v>
                </c:pt>
                <c:pt idx="166" formatCode="0.00">
                  <c:v>9.9999999999999995E-7</c:v>
                </c:pt>
                <c:pt idx="167" formatCode="0.00">
                  <c:v>9.9999999999999995E-7</c:v>
                </c:pt>
                <c:pt idx="168" formatCode="0.00">
                  <c:v>9.9999999999999995E-7</c:v>
                </c:pt>
                <c:pt idx="169" formatCode="0.00">
                  <c:v>9.9999999999999995E-7</c:v>
                </c:pt>
                <c:pt idx="170" formatCode="0.00">
                  <c:v>9.9999999999999995E-7</c:v>
                </c:pt>
                <c:pt idx="171" formatCode="0.00">
                  <c:v>9.9999999999999995E-7</c:v>
                </c:pt>
                <c:pt idx="172" formatCode="0.00">
                  <c:v>9.9999999999999995E-7</c:v>
                </c:pt>
                <c:pt idx="173" formatCode="0.00">
                  <c:v>9.9999999999999995E-7</c:v>
                </c:pt>
                <c:pt idx="174" formatCode="0.00">
                  <c:v>9.9999999999999995E-7</c:v>
                </c:pt>
                <c:pt idx="175" formatCode="0.00">
                  <c:v>9.9999999999999995E-7</c:v>
                </c:pt>
                <c:pt idx="176" formatCode="0.00">
                  <c:v>9.9999999999999995E-7</c:v>
                </c:pt>
                <c:pt idx="177" formatCode="0.00">
                  <c:v>9.9999999999999995E-7</c:v>
                </c:pt>
                <c:pt idx="178" formatCode="0.00">
                  <c:v>9.9999999999999995E-7</c:v>
                </c:pt>
                <c:pt idx="179" formatCode="0.00">
                  <c:v>9.9999999999999995E-7</c:v>
                </c:pt>
                <c:pt idx="180" formatCode="0.00">
                  <c:v>9.9999999999999995E-7</c:v>
                </c:pt>
                <c:pt idx="181" formatCode="0.00">
                  <c:v>9.9999999999999995E-7</c:v>
                </c:pt>
                <c:pt idx="182" formatCode="0.00">
                  <c:v>9.9999999999999995E-7</c:v>
                </c:pt>
                <c:pt idx="183" formatCode="0.00">
                  <c:v>9.9999999999999995E-7</c:v>
                </c:pt>
                <c:pt idx="184" formatCode="0.00">
                  <c:v>9.9999999999999995E-7</c:v>
                </c:pt>
                <c:pt idx="185" formatCode="0.00">
                  <c:v>9.9999999999999995E-7</c:v>
                </c:pt>
                <c:pt idx="186" formatCode="0.00">
                  <c:v>9.9999999999999995E-7</c:v>
                </c:pt>
                <c:pt idx="187" formatCode="0.00">
                  <c:v>9.9999999999999995E-7</c:v>
                </c:pt>
                <c:pt idx="188" formatCode="0.00">
                  <c:v>9.9999999999999995E-7</c:v>
                </c:pt>
                <c:pt idx="189" formatCode="0.00">
                  <c:v>9.9999999999999995E-7</c:v>
                </c:pt>
                <c:pt idx="190" formatCode="0.00">
                  <c:v>9.9999999999999995E-7</c:v>
                </c:pt>
                <c:pt idx="191" formatCode="0.00">
                  <c:v>9.9999999999999995E-7</c:v>
                </c:pt>
                <c:pt idx="192" formatCode="0.00">
                  <c:v>9.9999999999999995E-7</c:v>
                </c:pt>
                <c:pt idx="193" formatCode="0.00">
                  <c:v>9.9999999999999995E-7</c:v>
                </c:pt>
                <c:pt idx="194" formatCode="0.00">
                  <c:v>9.9999999999999995E-7</c:v>
                </c:pt>
                <c:pt idx="195" formatCode="0.00">
                  <c:v>9.9999999999999995E-7</c:v>
                </c:pt>
                <c:pt idx="196" formatCode="0.00">
                  <c:v>9.9999999999999995E-7</c:v>
                </c:pt>
                <c:pt idx="197" formatCode="0.00">
                  <c:v>9.9999999999999995E-7</c:v>
                </c:pt>
                <c:pt idx="198" formatCode="0.00">
                  <c:v>9.9999999999999995E-7</c:v>
                </c:pt>
                <c:pt idx="199" formatCode="0.00">
                  <c:v>9.9999999999999995E-7</c:v>
                </c:pt>
                <c:pt idx="200" formatCode="0.00">
                  <c:v>9.9999999999999995E-7</c:v>
                </c:pt>
                <c:pt idx="201" formatCode="0.00">
                  <c:v>9.9999999999999995E-7</c:v>
                </c:pt>
                <c:pt idx="202" formatCode="0.00">
                  <c:v>9.9999999999999995E-7</c:v>
                </c:pt>
                <c:pt idx="203" formatCode="0.00">
                  <c:v>9.9999999999999995E-7</c:v>
                </c:pt>
                <c:pt idx="204" formatCode="0.00">
                  <c:v>9.9999999999999995E-7</c:v>
                </c:pt>
                <c:pt idx="205" formatCode="0.00">
                  <c:v>9.9999999999999995E-7</c:v>
                </c:pt>
                <c:pt idx="206" formatCode="0.00">
                  <c:v>9.9999999999999995E-7</c:v>
                </c:pt>
                <c:pt idx="207" formatCode="0.00">
                  <c:v>9.9999999999999995E-7</c:v>
                </c:pt>
                <c:pt idx="208" formatCode="0.00">
                  <c:v>9.9999999999999995E-7</c:v>
                </c:pt>
                <c:pt idx="209" formatCode="0.00">
                  <c:v>9.9999999999999995E-7</c:v>
                </c:pt>
                <c:pt idx="210" formatCode="0.00">
                  <c:v>9.9999999999999995E-7</c:v>
                </c:pt>
                <c:pt idx="211" formatCode="0.00">
                  <c:v>9.9999999999999995E-7</c:v>
                </c:pt>
                <c:pt idx="212" formatCode="0.00">
                  <c:v>9.9999999999999995E-7</c:v>
                </c:pt>
                <c:pt idx="213" formatCode="0.00">
                  <c:v>9.9999999999999995E-7</c:v>
                </c:pt>
                <c:pt idx="214" formatCode="0.00">
                  <c:v>9.9999999999999995E-7</c:v>
                </c:pt>
                <c:pt idx="215" formatCode="0.00">
                  <c:v>9.9999999999999995E-7</c:v>
                </c:pt>
                <c:pt idx="216" formatCode="0.00">
                  <c:v>9.9999999999999995E-7</c:v>
                </c:pt>
                <c:pt idx="217" formatCode="0.00">
                  <c:v>9.9999999999999995E-7</c:v>
                </c:pt>
                <c:pt idx="218" formatCode="0.00">
                  <c:v>9.9999999999999995E-7</c:v>
                </c:pt>
                <c:pt idx="219" formatCode="0.00">
                  <c:v>9.9999999999999995E-7</c:v>
                </c:pt>
                <c:pt idx="220" formatCode="0.00">
                  <c:v>9.9999999999999995E-7</c:v>
                </c:pt>
                <c:pt idx="221" formatCode="0.00">
                  <c:v>9.9999999999999995E-7</c:v>
                </c:pt>
                <c:pt idx="222" formatCode="0.00">
                  <c:v>9.9999999999999995E-7</c:v>
                </c:pt>
                <c:pt idx="223" formatCode="0.00">
                  <c:v>9.9999999999999995E-7</c:v>
                </c:pt>
                <c:pt idx="224" formatCode="0.00">
                  <c:v>9.9999999999999995E-7</c:v>
                </c:pt>
                <c:pt idx="225" formatCode="0.00">
                  <c:v>9.9999999999999995E-7</c:v>
                </c:pt>
                <c:pt idx="226" formatCode="0.00">
                  <c:v>9.9999999999999995E-7</c:v>
                </c:pt>
                <c:pt idx="227" formatCode="0.00">
                  <c:v>9.9999999999999995E-7</c:v>
                </c:pt>
                <c:pt idx="228" formatCode="0.00">
                  <c:v>9.9999999999999995E-7</c:v>
                </c:pt>
                <c:pt idx="229" formatCode="0.00">
                  <c:v>9.9999999999999995E-7</c:v>
                </c:pt>
                <c:pt idx="230" formatCode="0.00">
                  <c:v>9.9999999999999995E-7</c:v>
                </c:pt>
                <c:pt idx="231" formatCode="0.00">
                  <c:v>9.9999999999999995E-7</c:v>
                </c:pt>
                <c:pt idx="232" formatCode="0.00">
                  <c:v>9.9999999999999995E-7</c:v>
                </c:pt>
                <c:pt idx="233" formatCode="0.00">
                  <c:v>9.9999999999999995E-7</c:v>
                </c:pt>
                <c:pt idx="234" formatCode="0.00">
                  <c:v>9.9999999999999995E-7</c:v>
                </c:pt>
                <c:pt idx="235" formatCode="0.00">
                  <c:v>9.9999999999999995E-7</c:v>
                </c:pt>
                <c:pt idx="236" formatCode="0.00">
                  <c:v>9.9999999999999995E-7</c:v>
                </c:pt>
                <c:pt idx="237" formatCode="0.00">
                  <c:v>9.9999999999999995E-7</c:v>
                </c:pt>
                <c:pt idx="238" formatCode="0.00">
                  <c:v>9.9999999999999995E-7</c:v>
                </c:pt>
                <c:pt idx="239" formatCode="0.00">
                  <c:v>9.9999999999999995E-7</c:v>
                </c:pt>
                <c:pt idx="240" formatCode="0.00">
                  <c:v>9.9999999999999995E-7</c:v>
                </c:pt>
                <c:pt idx="241" formatCode="0.00">
                  <c:v>9.9999999999999995E-7</c:v>
                </c:pt>
                <c:pt idx="242" formatCode="0.00">
                  <c:v>9.9999999999999995E-7</c:v>
                </c:pt>
                <c:pt idx="243" formatCode="0.00">
                  <c:v>9.9999999999999995E-7</c:v>
                </c:pt>
                <c:pt idx="244" formatCode="0.00">
                  <c:v>9.9999999999999995E-7</c:v>
                </c:pt>
                <c:pt idx="245" formatCode="0.00">
                  <c:v>9.9999999999999995E-7</c:v>
                </c:pt>
                <c:pt idx="246" formatCode="0.00">
                  <c:v>9.9999999999999995E-7</c:v>
                </c:pt>
                <c:pt idx="247" formatCode="0.00">
                  <c:v>9.9999999999999995E-7</c:v>
                </c:pt>
                <c:pt idx="248" formatCode="0.00">
                  <c:v>9.9999999999999995E-7</c:v>
                </c:pt>
                <c:pt idx="249" formatCode="0.00">
                  <c:v>9.9999999999999995E-7</c:v>
                </c:pt>
                <c:pt idx="250" formatCode="0.00">
                  <c:v>9.9999999999999995E-7</c:v>
                </c:pt>
                <c:pt idx="251" formatCode="0.00">
                  <c:v>9.9999999999999995E-7</c:v>
                </c:pt>
                <c:pt idx="252" formatCode="0.00">
                  <c:v>9.9999999999999995E-7</c:v>
                </c:pt>
                <c:pt idx="253" formatCode="0.00">
                  <c:v>9.9999999999999995E-7</c:v>
                </c:pt>
                <c:pt idx="254" formatCode="0.00">
                  <c:v>9.9999999999999995E-7</c:v>
                </c:pt>
                <c:pt idx="255" formatCode="0.00">
                  <c:v>9.9999999999999995E-7</c:v>
                </c:pt>
                <c:pt idx="256" formatCode="0.00">
                  <c:v>9.9999999999999995E-7</c:v>
                </c:pt>
                <c:pt idx="257" formatCode="0.00">
                  <c:v>9.9999999999999995E-7</c:v>
                </c:pt>
                <c:pt idx="258" formatCode="0.00">
                  <c:v>9.9999999999999995E-7</c:v>
                </c:pt>
                <c:pt idx="259" formatCode="0.00">
                  <c:v>9.9999999999999995E-7</c:v>
                </c:pt>
                <c:pt idx="260" formatCode="0.00">
                  <c:v>9.9999999999999995E-7</c:v>
                </c:pt>
                <c:pt idx="261" formatCode="0.00">
                  <c:v>9.9999999999999995E-7</c:v>
                </c:pt>
                <c:pt idx="262" formatCode="0.00">
                  <c:v>9.9999999999999995E-7</c:v>
                </c:pt>
                <c:pt idx="263" formatCode="0.00">
                  <c:v>9.9999999999999995E-7</c:v>
                </c:pt>
                <c:pt idx="264" formatCode="0.00">
                  <c:v>9.9999999999999995E-7</c:v>
                </c:pt>
                <c:pt idx="265" formatCode="0.00">
                  <c:v>9.9999999999999995E-7</c:v>
                </c:pt>
                <c:pt idx="266" formatCode="0.00">
                  <c:v>9.9999999999999995E-7</c:v>
                </c:pt>
                <c:pt idx="267" formatCode="0.00">
                  <c:v>9.9999999999999995E-7</c:v>
                </c:pt>
                <c:pt idx="268" formatCode="0.00">
                  <c:v>9.9999999999999995E-7</c:v>
                </c:pt>
                <c:pt idx="269" formatCode="0.00">
                  <c:v>9.9999999999999995E-7</c:v>
                </c:pt>
                <c:pt idx="270" formatCode="0.00">
                  <c:v>9.9999999999999995E-7</c:v>
                </c:pt>
                <c:pt idx="271" formatCode="0.00">
                  <c:v>9.9999999999999995E-7</c:v>
                </c:pt>
                <c:pt idx="272" formatCode="0.00">
                  <c:v>9.9999999999999995E-7</c:v>
                </c:pt>
                <c:pt idx="273" formatCode="0.00">
                  <c:v>9.9999999999999995E-7</c:v>
                </c:pt>
                <c:pt idx="274" formatCode="0.00">
                  <c:v>9.9999999999999995E-7</c:v>
                </c:pt>
                <c:pt idx="275" formatCode="0.00">
                  <c:v>9.9999999999999995E-7</c:v>
                </c:pt>
                <c:pt idx="276" formatCode="0.00">
                  <c:v>9.9999999999999995E-7</c:v>
                </c:pt>
                <c:pt idx="277" formatCode="0.00">
                  <c:v>9.9999999999999995E-7</c:v>
                </c:pt>
                <c:pt idx="278" formatCode="0.00">
                  <c:v>9.9999999999999995E-7</c:v>
                </c:pt>
                <c:pt idx="279" formatCode="0.00">
                  <c:v>9.9999999999999995E-7</c:v>
                </c:pt>
                <c:pt idx="280" formatCode="0.00">
                  <c:v>9.9999999999999995E-7</c:v>
                </c:pt>
                <c:pt idx="281" formatCode="0.00">
                  <c:v>9.9999999999999995E-7</c:v>
                </c:pt>
                <c:pt idx="282" formatCode="0.00">
                  <c:v>9.9999999999999995E-7</c:v>
                </c:pt>
                <c:pt idx="283" formatCode="0.00">
                  <c:v>9.9999999999999995E-7</c:v>
                </c:pt>
                <c:pt idx="284" formatCode="0.00">
                  <c:v>9.9999999999999995E-7</c:v>
                </c:pt>
                <c:pt idx="285" formatCode="0.00">
                  <c:v>9.9999999999999995E-7</c:v>
                </c:pt>
                <c:pt idx="286" formatCode="0.00">
                  <c:v>9.9999999999999995E-7</c:v>
                </c:pt>
                <c:pt idx="287" formatCode="0.00">
                  <c:v>9.9999999999999995E-7</c:v>
                </c:pt>
                <c:pt idx="288" formatCode="0.00">
                  <c:v>9.9999999999999995E-7</c:v>
                </c:pt>
                <c:pt idx="289" formatCode="0.00">
                  <c:v>9.9999999999999995E-7</c:v>
                </c:pt>
                <c:pt idx="290" formatCode="0.00">
                  <c:v>9.9999999999999995E-7</c:v>
                </c:pt>
                <c:pt idx="291" formatCode="0.00">
                  <c:v>9.9999999999999995E-7</c:v>
                </c:pt>
                <c:pt idx="292" formatCode="0.00">
                  <c:v>9.9999999999999995E-7</c:v>
                </c:pt>
                <c:pt idx="293" formatCode="0.00">
                  <c:v>9.9999999999999995E-7</c:v>
                </c:pt>
                <c:pt idx="294" formatCode="0.00">
                  <c:v>9.9999999999999995E-7</c:v>
                </c:pt>
                <c:pt idx="295" formatCode="0.00">
                  <c:v>9.9999999999999995E-7</c:v>
                </c:pt>
                <c:pt idx="296" formatCode="0.00">
                  <c:v>9.9999999999999995E-7</c:v>
                </c:pt>
                <c:pt idx="297" formatCode="0.00">
                  <c:v>9.9999999999999995E-7</c:v>
                </c:pt>
                <c:pt idx="298" formatCode="0.00">
                  <c:v>9.9999999999999995E-7</c:v>
                </c:pt>
                <c:pt idx="299" formatCode="0.00">
                  <c:v>9.9999999999999995E-7</c:v>
                </c:pt>
                <c:pt idx="300" formatCode="0.00">
                  <c:v>9.9999999999999995E-7</c:v>
                </c:pt>
                <c:pt idx="301" formatCode="0.00">
                  <c:v>9.9999999999999995E-7</c:v>
                </c:pt>
                <c:pt idx="302" formatCode="0.00">
                  <c:v>9.9999999999999995E-7</c:v>
                </c:pt>
                <c:pt idx="303" formatCode="0.00">
                  <c:v>9.9999999999999995E-7</c:v>
                </c:pt>
                <c:pt idx="304" formatCode="0.00">
                  <c:v>9.9999999999999995E-7</c:v>
                </c:pt>
                <c:pt idx="305" formatCode="0.00">
                  <c:v>9.9999999999999995E-7</c:v>
                </c:pt>
                <c:pt idx="306" formatCode="0.00">
                  <c:v>9.9999999999999995E-7</c:v>
                </c:pt>
                <c:pt idx="307" formatCode="0.00">
                  <c:v>9.9999999999999995E-7</c:v>
                </c:pt>
                <c:pt idx="308" formatCode="0.00">
                  <c:v>9.9999999999999995E-7</c:v>
                </c:pt>
                <c:pt idx="309" formatCode="0.00">
                  <c:v>9.9999999999999995E-7</c:v>
                </c:pt>
                <c:pt idx="310" formatCode="0.00">
                  <c:v>9.9999999999999995E-7</c:v>
                </c:pt>
                <c:pt idx="311" formatCode="0.00">
                  <c:v>9.9999999999999995E-7</c:v>
                </c:pt>
                <c:pt idx="312" formatCode="0.00">
                  <c:v>9.9999999999999995E-7</c:v>
                </c:pt>
                <c:pt idx="313" formatCode="0.00">
                  <c:v>9.9999999999999995E-7</c:v>
                </c:pt>
                <c:pt idx="314" formatCode="0.00">
                  <c:v>9.9999999999999995E-7</c:v>
                </c:pt>
                <c:pt idx="315" formatCode="0.00">
                  <c:v>9.9999999999999995E-7</c:v>
                </c:pt>
                <c:pt idx="316" formatCode="0.00">
                  <c:v>9.9999999999999995E-7</c:v>
                </c:pt>
                <c:pt idx="317" formatCode="0.00">
                  <c:v>9.9999999999999995E-7</c:v>
                </c:pt>
                <c:pt idx="318" formatCode="0.00">
                  <c:v>9.9999999999999995E-7</c:v>
                </c:pt>
                <c:pt idx="319" formatCode="0.00">
                  <c:v>9.9999999999999995E-7</c:v>
                </c:pt>
                <c:pt idx="320" formatCode="0.00">
                  <c:v>9.9999999999999995E-7</c:v>
                </c:pt>
                <c:pt idx="321" formatCode="0.00">
                  <c:v>9.9999999999999995E-7</c:v>
                </c:pt>
                <c:pt idx="322" formatCode="0.00">
                  <c:v>9.9999999999999995E-7</c:v>
                </c:pt>
                <c:pt idx="323" formatCode="0.00">
                  <c:v>9.9999999999999995E-7</c:v>
                </c:pt>
                <c:pt idx="324" formatCode="0.00">
                  <c:v>9.9999999999999995E-7</c:v>
                </c:pt>
                <c:pt idx="325" formatCode="0.00">
                  <c:v>9.9999999999999995E-7</c:v>
                </c:pt>
                <c:pt idx="326" formatCode="0.00">
                  <c:v>9.9999999999999995E-7</c:v>
                </c:pt>
                <c:pt idx="327" formatCode="0.00">
                  <c:v>9.9999999999999995E-7</c:v>
                </c:pt>
                <c:pt idx="328" formatCode="0.00">
                  <c:v>9.9999999999999995E-7</c:v>
                </c:pt>
                <c:pt idx="329" formatCode="0.00">
                  <c:v>9.9999999999999995E-7</c:v>
                </c:pt>
                <c:pt idx="330" formatCode="0.00">
                  <c:v>9.9999999999999995E-7</c:v>
                </c:pt>
                <c:pt idx="331" formatCode="0.00">
                  <c:v>9.9999999999999995E-7</c:v>
                </c:pt>
                <c:pt idx="332" formatCode="0.00">
                  <c:v>9.9999999999999995E-7</c:v>
                </c:pt>
                <c:pt idx="333" formatCode="0.00">
                  <c:v>9.9999999999999995E-7</c:v>
                </c:pt>
                <c:pt idx="334" formatCode="0.00">
                  <c:v>9.9999999999999995E-7</c:v>
                </c:pt>
                <c:pt idx="335" formatCode="0.00">
                  <c:v>9.9999999999999995E-7</c:v>
                </c:pt>
                <c:pt idx="336" formatCode="0.00">
                  <c:v>9.9999999999999995E-7</c:v>
                </c:pt>
                <c:pt idx="337" formatCode="0.00">
                  <c:v>9.9999999999999995E-7</c:v>
                </c:pt>
                <c:pt idx="338" formatCode="0.00">
                  <c:v>9.9999999999999995E-7</c:v>
                </c:pt>
                <c:pt idx="339" formatCode="0.00">
                  <c:v>9.9999999999999995E-7</c:v>
                </c:pt>
                <c:pt idx="340" formatCode="0.00">
                  <c:v>9.9999999999999995E-7</c:v>
                </c:pt>
                <c:pt idx="341" formatCode="0.00">
                  <c:v>9.9999999999999995E-7</c:v>
                </c:pt>
                <c:pt idx="342" formatCode="0.00">
                  <c:v>9.9999999999999995E-7</c:v>
                </c:pt>
                <c:pt idx="343" formatCode="0.00">
                  <c:v>9.9999999999999995E-7</c:v>
                </c:pt>
                <c:pt idx="344" formatCode="0.00">
                  <c:v>9.9999999999999995E-7</c:v>
                </c:pt>
                <c:pt idx="345" formatCode="0.00">
                  <c:v>9.9999999999999995E-7</c:v>
                </c:pt>
                <c:pt idx="346" formatCode="0.00">
                  <c:v>9.9999999999999995E-7</c:v>
                </c:pt>
                <c:pt idx="347" formatCode="0.00">
                  <c:v>9.9999999999999995E-7</c:v>
                </c:pt>
                <c:pt idx="348" formatCode="0.00">
                  <c:v>9.9999999999999995E-7</c:v>
                </c:pt>
                <c:pt idx="349" formatCode="0.00">
                  <c:v>9.9999999999999995E-7</c:v>
                </c:pt>
                <c:pt idx="350" formatCode="0.00">
                  <c:v>9.9999999999999995E-7</c:v>
                </c:pt>
                <c:pt idx="351" formatCode="0.00">
                  <c:v>9.9999999999999995E-7</c:v>
                </c:pt>
                <c:pt idx="352" formatCode="0.00">
                  <c:v>9.9999999999999995E-7</c:v>
                </c:pt>
                <c:pt idx="353" formatCode="0.00">
                  <c:v>9.9999999999999995E-7</c:v>
                </c:pt>
                <c:pt idx="354" formatCode="0.00">
                  <c:v>9.9999999999999995E-7</c:v>
                </c:pt>
                <c:pt idx="355" formatCode="0.00">
                  <c:v>9.9999999999999995E-7</c:v>
                </c:pt>
                <c:pt idx="356" formatCode="0.00">
                  <c:v>9.9999999999999995E-7</c:v>
                </c:pt>
                <c:pt idx="357" formatCode="0.00">
                  <c:v>9.9999999999999995E-7</c:v>
                </c:pt>
                <c:pt idx="358" formatCode="0.00">
                  <c:v>9.9999999999999995E-7</c:v>
                </c:pt>
                <c:pt idx="359" formatCode="0.00">
                  <c:v>9.9999999999999995E-7</c:v>
                </c:pt>
                <c:pt idx="360" formatCode="0.00">
                  <c:v>9.9999999999999995E-7</c:v>
                </c:pt>
                <c:pt idx="361" formatCode="0.00">
                  <c:v>9.9999999999999995E-7</c:v>
                </c:pt>
                <c:pt idx="362" formatCode="0.00">
                  <c:v>9.9999999999999995E-7</c:v>
                </c:pt>
                <c:pt idx="363" formatCode="0.00">
                  <c:v>9.9999999999999995E-7</c:v>
                </c:pt>
                <c:pt idx="364" formatCode="0.00">
                  <c:v>9.9999999999999995E-7</c:v>
                </c:pt>
              </c:numCache>
            </c:numRef>
          </c:val>
          <c:smooth val="1"/>
          <c:extLst>
            <c:ext xmlns:c16="http://schemas.microsoft.com/office/drawing/2014/chart" uri="{C3380CC4-5D6E-409C-BE32-E72D297353CC}">
              <c16:uniqueId val="{00000002-85C5-4309-8DD0-0FD1664A4E4E}"/>
            </c:ext>
          </c:extLst>
        </c:ser>
        <c:ser>
          <c:idx val="3"/>
          <c:order val="3"/>
          <c:tx>
            <c:strRef>
              <c:f>'JSM GM A198'!$G$54</c:f>
              <c:strCache>
                <c:ptCount val="1"/>
                <c:pt idx="0">
                  <c:v>Schwankungsbreite nach A 198</c:v>
                </c:pt>
              </c:strCache>
            </c:strRef>
          </c:tx>
          <c:spPr>
            <a:ln w="25400">
              <a:solidFill>
                <a:srgbClr val="FF9900"/>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A198'!$G$55:$G$419</c:f>
              <c:numCache>
                <c:formatCode>0</c:formatCode>
                <c:ptCount val="365"/>
                <c:pt idx="0">
                  <c:v>1.1999999999999999E-6</c:v>
                </c:pt>
                <c:pt idx="1">
                  <c:v>1.1999999999999999E-6</c:v>
                </c:pt>
                <c:pt idx="2">
                  <c:v>1.1999999999999999E-6</c:v>
                </c:pt>
                <c:pt idx="3">
                  <c:v>1.1999999999999999E-6</c:v>
                </c:pt>
                <c:pt idx="4">
                  <c:v>1.1999999999999999E-6</c:v>
                </c:pt>
                <c:pt idx="5">
                  <c:v>1.1999999999999999E-6</c:v>
                </c:pt>
                <c:pt idx="6">
                  <c:v>1.1999999999999999E-6</c:v>
                </c:pt>
                <c:pt idx="7">
                  <c:v>1.1999999999999999E-6</c:v>
                </c:pt>
                <c:pt idx="8">
                  <c:v>1.1999999999999999E-6</c:v>
                </c:pt>
                <c:pt idx="9">
                  <c:v>1.1999999999999999E-6</c:v>
                </c:pt>
                <c:pt idx="10">
                  <c:v>1.1999999999999999E-6</c:v>
                </c:pt>
                <c:pt idx="11">
                  <c:v>1.1999999999999999E-6</c:v>
                </c:pt>
                <c:pt idx="12">
                  <c:v>1.1999999999999999E-6</c:v>
                </c:pt>
                <c:pt idx="13">
                  <c:v>1.1999999999999999E-6</c:v>
                </c:pt>
                <c:pt idx="14">
                  <c:v>1.1999999999999999E-6</c:v>
                </c:pt>
                <c:pt idx="15">
                  <c:v>1.1999999999999999E-6</c:v>
                </c:pt>
                <c:pt idx="16">
                  <c:v>1.1999999999999999E-6</c:v>
                </c:pt>
                <c:pt idx="17">
                  <c:v>1.1999999999999999E-6</c:v>
                </c:pt>
                <c:pt idx="18">
                  <c:v>1.1999999999999999E-6</c:v>
                </c:pt>
                <c:pt idx="19">
                  <c:v>1.1999999999999999E-6</c:v>
                </c:pt>
                <c:pt idx="20">
                  <c:v>1.1999999999999999E-6</c:v>
                </c:pt>
                <c:pt idx="21">
                  <c:v>1.1999999999999999E-6</c:v>
                </c:pt>
                <c:pt idx="22">
                  <c:v>1.1999999999999999E-6</c:v>
                </c:pt>
                <c:pt idx="23">
                  <c:v>1.1999999999999999E-6</c:v>
                </c:pt>
                <c:pt idx="24">
                  <c:v>1.1999999999999999E-6</c:v>
                </c:pt>
                <c:pt idx="25">
                  <c:v>1.1999999999999999E-6</c:v>
                </c:pt>
                <c:pt idx="26">
                  <c:v>1.1999999999999999E-6</c:v>
                </c:pt>
                <c:pt idx="27">
                  <c:v>1.1999999999999999E-6</c:v>
                </c:pt>
                <c:pt idx="28">
                  <c:v>1.1999999999999999E-6</c:v>
                </c:pt>
                <c:pt idx="29">
                  <c:v>1.1999999999999999E-6</c:v>
                </c:pt>
                <c:pt idx="30">
                  <c:v>1.1999999999999999E-6</c:v>
                </c:pt>
                <c:pt idx="31">
                  <c:v>1.1999999999999999E-6</c:v>
                </c:pt>
                <c:pt idx="32">
                  <c:v>1.1999999999999999E-6</c:v>
                </c:pt>
                <c:pt idx="33">
                  <c:v>1.1999999999999999E-6</c:v>
                </c:pt>
                <c:pt idx="34">
                  <c:v>1.1999999999999999E-6</c:v>
                </c:pt>
                <c:pt idx="35">
                  <c:v>1.1999999999999999E-6</c:v>
                </c:pt>
                <c:pt idx="36">
                  <c:v>1.1999999999999999E-6</c:v>
                </c:pt>
                <c:pt idx="37">
                  <c:v>1.1999999999999999E-6</c:v>
                </c:pt>
                <c:pt idx="38">
                  <c:v>1.1999999999999999E-6</c:v>
                </c:pt>
                <c:pt idx="39">
                  <c:v>1.1999999999999999E-6</c:v>
                </c:pt>
                <c:pt idx="40">
                  <c:v>1.1999999999999999E-6</c:v>
                </c:pt>
                <c:pt idx="41">
                  <c:v>1.1999999999999999E-6</c:v>
                </c:pt>
                <c:pt idx="42">
                  <c:v>1.1999999999999999E-6</c:v>
                </c:pt>
                <c:pt idx="43">
                  <c:v>1.1999999999999999E-6</c:v>
                </c:pt>
                <c:pt idx="44">
                  <c:v>1.1999999999999999E-6</c:v>
                </c:pt>
                <c:pt idx="45">
                  <c:v>1.1999999999999999E-6</c:v>
                </c:pt>
                <c:pt idx="46">
                  <c:v>1.1999999999999999E-6</c:v>
                </c:pt>
                <c:pt idx="47">
                  <c:v>1.1999999999999999E-6</c:v>
                </c:pt>
                <c:pt idx="48">
                  <c:v>1.1999999999999999E-6</c:v>
                </c:pt>
                <c:pt idx="49">
                  <c:v>1.1999999999999999E-6</c:v>
                </c:pt>
                <c:pt idx="50">
                  <c:v>1.1999999999999999E-6</c:v>
                </c:pt>
                <c:pt idx="51">
                  <c:v>1.1999999999999999E-6</c:v>
                </c:pt>
                <c:pt idx="52">
                  <c:v>1.1999999999999999E-6</c:v>
                </c:pt>
                <c:pt idx="53">
                  <c:v>1.1999999999999999E-6</c:v>
                </c:pt>
                <c:pt idx="54">
                  <c:v>1.1999999999999999E-6</c:v>
                </c:pt>
                <c:pt idx="55">
                  <c:v>1.1999999999999999E-6</c:v>
                </c:pt>
                <c:pt idx="56">
                  <c:v>1.1999999999999999E-6</c:v>
                </c:pt>
                <c:pt idx="57">
                  <c:v>1.1999999999999999E-6</c:v>
                </c:pt>
                <c:pt idx="58">
                  <c:v>1.1999999999999999E-6</c:v>
                </c:pt>
                <c:pt idx="59">
                  <c:v>1.1999999999999999E-6</c:v>
                </c:pt>
                <c:pt idx="60">
                  <c:v>1.1999999999999999E-6</c:v>
                </c:pt>
                <c:pt idx="61">
                  <c:v>1.1999999999999999E-6</c:v>
                </c:pt>
                <c:pt idx="62">
                  <c:v>1.1999999999999999E-6</c:v>
                </c:pt>
                <c:pt idx="63">
                  <c:v>1.1999999999999999E-6</c:v>
                </c:pt>
                <c:pt idx="64">
                  <c:v>1.1999999999999999E-6</c:v>
                </c:pt>
                <c:pt idx="65">
                  <c:v>1.1999999999999999E-6</c:v>
                </c:pt>
                <c:pt idx="66">
                  <c:v>1.1999999999999999E-6</c:v>
                </c:pt>
                <c:pt idx="67">
                  <c:v>1.1999999999999999E-6</c:v>
                </c:pt>
                <c:pt idx="68">
                  <c:v>1.1999999999999999E-6</c:v>
                </c:pt>
                <c:pt idx="69">
                  <c:v>1.1999999999999999E-6</c:v>
                </c:pt>
                <c:pt idx="70">
                  <c:v>1.1999999999999999E-6</c:v>
                </c:pt>
                <c:pt idx="71">
                  <c:v>1.1999999999999999E-6</c:v>
                </c:pt>
                <c:pt idx="72">
                  <c:v>1.1999999999999999E-6</c:v>
                </c:pt>
                <c:pt idx="73">
                  <c:v>1.1999999999999999E-6</c:v>
                </c:pt>
                <c:pt idx="74">
                  <c:v>1.1999999999999999E-6</c:v>
                </c:pt>
                <c:pt idx="75">
                  <c:v>1.1999999999999999E-6</c:v>
                </c:pt>
                <c:pt idx="76">
                  <c:v>1.1999999999999999E-6</c:v>
                </c:pt>
                <c:pt idx="77">
                  <c:v>1.1999999999999999E-6</c:v>
                </c:pt>
                <c:pt idx="78">
                  <c:v>1.1999999999999999E-6</c:v>
                </c:pt>
                <c:pt idx="79">
                  <c:v>1.1999999999999999E-6</c:v>
                </c:pt>
                <c:pt idx="80">
                  <c:v>1.1999999999999999E-6</c:v>
                </c:pt>
                <c:pt idx="81">
                  <c:v>1.1999999999999999E-6</c:v>
                </c:pt>
                <c:pt idx="82">
                  <c:v>1.1999999999999999E-6</c:v>
                </c:pt>
                <c:pt idx="83">
                  <c:v>1.1999999999999999E-6</c:v>
                </c:pt>
                <c:pt idx="84">
                  <c:v>1.1999999999999999E-6</c:v>
                </c:pt>
                <c:pt idx="85">
                  <c:v>1.1999999999999999E-6</c:v>
                </c:pt>
                <c:pt idx="86">
                  <c:v>1.1999999999999999E-6</c:v>
                </c:pt>
                <c:pt idx="87">
                  <c:v>1.1999999999999999E-6</c:v>
                </c:pt>
                <c:pt idx="88">
                  <c:v>1.1999999999999999E-6</c:v>
                </c:pt>
                <c:pt idx="89">
                  <c:v>1.1999999999999999E-6</c:v>
                </c:pt>
                <c:pt idx="90">
                  <c:v>1.1999999999999999E-6</c:v>
                </c:pt>
                <c:pt idx="91">
                  <c:v>1.1999999999999999E-6</c:v>
                </c:pt>
                <c:pt idx="92">
                  <c:v>1.1999999999999999E-6</c:v>
                </c:pt>
                <c:pt idx="93">
                  <c:v>1.1999999999999999E-6</c:v>
                </c:pt>
                <c:pt idx="94">
                  <c:v>1.1999999999999999E-6</c:v>
                </c:pt>
                <c:pt idx="95">
                  <c:v>1.1999999999999999E-6</c:v>
                </c:pt>
                <c:pt idx="96">
                  <c:v>1.1999999999999999E-6</c:v>
                </c:pt>
                <c:pt idx="97">
                  <c:v>1.1999999999999999E-6</c:v>
                </c:pt>
                <c:pt idx="98">
                  <c:v>1.1999999999999999E-6</c:v>
                </c:pt>
                <c:pt idx="99">
                  <c:v>1.1999999999999999E-6</c:v>
                </c:pt>
                <c:pt idx="100">
                  <c:v>1.1999999999999999E-6</c:v>
                </c:pt>
                <c:pt idx="101">
                  <c:v>1.1999999999999999E-6</c:v>
                </c:pt>
                <c:pt idx="102">
                  <c:v>1.1999999999999999E-6</c:v>
                </c:pt>
                <c:pt idx="103">
                  <c:v>1.1999999999999999E-6</c:v>
                </c:pt>
                <c:pt idx="104">
                  <c:v>1.1999999999999999E-6</c:v>
                </c:pt>
                <c:pt idx="105">
                  <c:v>1.1999999999999999E-6</c:v>
                </c:pt>
                <c:pt idx="106">
                  <c:v>1.1999999999999999E-6</c:v>
                </c:pt>
                <c:pt idx="107">
                  <c:v>1.1999999999999999E-6</c:v>
                </c:pt>
                <c:pt idx="108">
                  <c:v>1.1999999999999999E-6</c:v>
                </c:pt>
                <c:pt idx="109">
                  <c:v>1.1999999999999999E-6</c:v>
                </c:pt>
                <c:pt idx="110">
                  <c:v>1.1999999999999999E-6</c:v>
                </c:pt>
                <c:pt idx="111">
                  <c:v>1.1999999999999999E-6</c:v>
                </c:pt>
                <c:pt idx="112">
                  <c:v>1.1999999999999999E-6</c:v>
                </c:pt>
                <c:pt idx="113">
                  <c:v>1.1999999999999999E-6</c:v>
                </c:pt>
                <c:pt idx="114">
                  <c:v>1.1999999999999999E-6</c:v>
                </c:pt>
                <c:pt idx="115">
                  <c:v>1.1999999999999999E-6</c:v>
                </c:pt>
                <c:pt idx="116">
                  <c:v>1.1999999999999999E-6</c:v>
                </c:pt>
                <c:pt idx="117">
                  <c:v>1.1999999999999999E-6</c:v>
                </c:pt>
                <c:pt idx="118">
                  <c:v>1.1999999999999999E-6</c:v>
                </c:pt>
                <c:pt idx="119">
                  <c:v>1.1999999999999999E-6</c:v>
                </c:pt>
                <c:pt idx="120">
                  <c:v>1.1999999999999999E-6</c:v>
                </c:pt>
                <c:pt idx="121">
                  <c:v>1.1999999999999999E-6</c:v>
                </c:pt>
                <c:pt idx="122">
                  <c:v>1.1999999999999999E-6</c:v>
                </c:pt>
                <c:pt idx="123">
                  <c:v>1.1999999999999999E-6</c:v>
                </c:pt>
                <c:pt idx="124">
                  <c:v>1.1999999999999999E-6</c:v>
                </c:pt>
                <c:pt idx="125">
                  <c:v>1.1999999999999999E-6</c:v>
                </c:pt>
                <c:pt idx="126">
                  <c:v>1.1999999999999999E-6</c:v>
                </c:pt>
                <c:pt idx="127">
                  <c:v>1.1999999999999999E-6</c:v>
                </c:pt>
                <c:pt idx="128">
                  <c:v>1.1999999999999999E-6</c:v>
                </c:pt>
                <c:pt idx="129">
                  <c:v>1.1999999999999999E-6</c:v>
                </c:pt>
                <c:pt idx="130">
                  <c:v>1.1999999999999999E-6</c:v>
                </c:pt>
                <c:pt idx="131">
                  <c:v>1.1999999999999999E-6</c:v>
                </c:pt>
                <c:pt idx="132">
                  <c:v>1.1999999999999999E-6</c:v>
                </c:pt>
                <c:pt idx="133">
                  <c:v>1.1999999999999999E-6</c:v>
                </c:pt>
                <c:pt idx="134">
                  <c:v>1.1999999999999999E-6</c:v>
                </c:pt>
                <c:pt idx="135">
                  <c:v>1.1999999999999999E-6</c:v>
                </c:pt>
                <c:pt idx="136">
                  <c:v>1.1999999999999999E-6</c:v>
                </c:pt>
                <c:pt idx="137">
                  <c:v>1.1999999999999999E-6</c:v>
                </c:pt>
                <c:pt idx="138">
                  <c:v>1.1999999999999999E-6</c:v>
                </c:pt>
                <c:pt idx="139">
                  <c:v>1.1999999999999999E-6</c:v>
                </c:pt>
                <c:pt idx="140">
                  <c:v>1.1999999999999999E-6</c:v>
                </c:pt>
                <c:pt idx="141">
                  <c:v>1.1999999999999999E-6</c:v>
                </c:pt>
                <c:pt idx="142">
                  <c:v>1.1999999999999999E-6</c:v>
                </c:pt>
                <c:pt idx="143">
                  <c:v>1.1999999999999999E-6</c:v>
                </c:pt>
                <c:pt idx="144">
                  <c:v>1.1999999999999999E-6</c:v>
                </c:pt>
                <c:pt idx="145">
                  <c:v>1.1999999999999999E-6</c:v>
                </c:pt>
                <c:pt idx="146">
                  <c:v>1.1999999999999999E-6</c:v>
                </c:pt>
                <c:pt idx="147">
                  <c:v>1.1999999999999999E-6</c:v>
                </c:pt>
                <c:pt idx="148">
                  <c:v>1.1999999999999999E-6</c:v>
                </c:pt>
                <c:pt idx="149">
                  <c:v>1.1999999999999999E-6</c:v>
                </c:pt>
                <c:pt idx="150">
                  <c:v>1.1999999999999999E-6</c:v>
                </c:pt>
                <c:pt idx="151">
                  <c:v>1.1999999999999999E-6</c:v>
                </c:pt>
                <c:pt idx="152">
                  <c:v>1.1999999999999999E-6</c:v>
                </c:pt>
                <c:pt idx="153">
                  <c:v>1.1999999999999999E-6</c:v>
                </c:pt>
                <c:pt idx="154">
                  <c:v>1.1999999999999999E-6</c:v>
                </c:pt>
                <c:pt idx="155">
                  <c:v>1.1999999999999999E-6</c:v>
                </c:pt>
                <c:pt idx="156">
                  <c:v>1.1999999999999999E-6</c:v>
                </c:pt>
                <c:pt idx="157">
                  <c:v>1.1999999999999999E-6</c:v>
                </c:pt>
                <c:pt idx="158">
                  <c:v>1.1999999999999999E-6</c:v>
                </c:pt>
                <c:pt idx="159">
                  <c:v>1.1999999999999999E-6</c:v>
                </c:pt>
                <c:pt idx="160">
                  <c:v>1.1999999999999999E-6</c:v>
                </c:pt>
                <c:pt idx="161">
                  <c:v>1.1999999999999999E-6</c:v>
                </c:pt>
                <c:pt idx="162">
                  <c:v>1.1999999999999999E-6</c:v>
                </c:pt>
                <c:pt idx="163">
                  <c:v>1.1999999999999999E-6</c:v>
                </c:pt>
                <c:pt idx="164">
                  <c:v>1.1999999999999999E-6</c:v>
                </c:pt>
                <c:pt idx="165">
                  <c:v>1.1999999999999999E-6</c:v>
                </c:pt>
                <c:pt idx="166">
                  <c:v>1.1999999999999999E-6</c:v>
                </c:pt>
                <c:pt idx="167">
                  <c:v>1.1999999999999999E-6</c:v>
                </c:pt>
                <c:pt idx="168">
                  <c:v>1.1999999999999999E-6</c:v>
                </c:pt>
                <c:pt idx="169">
                  <c:v>1.1999999999999999E-6</c:v>
                </c:pt>
                <c:pt idx="170">
                  <c:v>1.1999999999999999E-6</c:v>
                </c:pt>
                <c:pt idx="171">
                  <c:v>1.1999999999999999E-6</c:v>
                </c:pt>
                <c:pt idx="172">
                  <c:v>1.1999999999999999E-6</c:v>
                </c:pt>
                <c:pt idx="173">
                  <c:v>1.1999999999999999E-6</c:v>
                </c:pt>
                <c:pt idx="174">
                  <c:v>1.1999999999999999E-6</c:v>
                </c:pt>
                <c:pt idx="175">
                  <c:v>1.1999999999999999E-6</c:v>
                </c:pt>
                <c:pt idx="176">
                  <c:v>1.1999999999999999E-6</c:v>
                </c:pt>
                <c:pt idx="177">
                  <c:v>1.1999999999999999E-6</c:v>
                </c:pt>
                <c:pt idx="178">
                  <c:v>1.1999999999999999E-6</c:v>
                </c:pt>
                <c:pt idx="179">
                  <c:v>1.1999999999999999E-6</c:v>
                </c:pt>
                <c:pt idx="180">
                  <c:v>1.1999999999999999E-6</c:v>
                </c:pt>
                <c:pt idx="181">
                  <c:v>1.1999999999999999E-6</c:v>
                </c:pt>
                <c:pt idx="182">
                  <c:v>1.1999999999999999E-6</c:v>
                </c:pt>
                <c:pt idx="183">
                  <c:v>1.1999999999999999E-6</c:v>
                </c:pt>
                <c:pt idx="184">
                  <c:v>1.1999999999999999E-6</c:v>
                </c:pt>
                <c:pt idx="185">
                  <c:v>1.1999999999999999E-6</c:v>
                </c:pt>
                <c:pt idx="186">
                  <c:v>1.1999999999999999E-6</c:v>
                </c:pt>
                <c:pt idx="187">
                  <c:v>1.1999999999999999E-6</c:v>
                </c:pt>
                <c:pt idx="188">
                  <c:v>1.1999999999999999E-6</c:v>
                </c:pt>
                <c:pt idx="189">
                  <c:v>1.1999999999999999E-6</c:v>
                </c:pt>
                <c:pt idx="190">
                  <c:v>1.1999999999999999E-6</c:v>
                </c:pt>
                <c:pt idx="191">
                  <c:v>1.1999999999999999E-6</c:v>
                </c:pt>
                <c:pt idx="192">
                  <c:v>1.1999999999999999E-6</c:v>
                </c:pt>
                <c:pt idx="193">
                  <c:v>1.1999999999999999E-6</c:v>
                </c:pt>
                <c:pt idx="194">
                  <c:v>1.1999999999999999E-6</c:v>
                </c:pt>
                <c:pt idx="195">
                  <c:v>1.1999999999999999E-6</c:v>
                </c:pt>
                <c:pt idx="196">
                  <c:v>1.1999999999999999E-6</c:v>
                </c:pt>
                <c:pt idx="197">
                  <c:v>1.1999999999999999E-6</c:v>
                </c:pt>
                <c:pt idx="198">
                  <c:v>1.1999999999999999E-6</c:v>
                </c:pt>
                <c:pt idx="199">
                  <c:v>1.1999999999999999E-6</c:v>
                </c:pt>
                <c:pt idx="200">
                  <c:v>1.1999999999999999E-6</c:v>
                </c:pt>
                <c:pt idx="201">
                  <c:v>1.1999999999999999E-6</c:v>
                </c:pt>
                <c:pt idx="202">
                  <c:v>1.1999999999999999E-6</c:v>
                </c:pt>
                <c:pt idx="203">
                  <c:v>1.1999999999999999E-6</c:v>
                </c:pt>
                <c:pt idx="204">
                  <c:v>1.1999999999999999E-6</c:v>
                </c:pt>
                <c:pt idx="205">
                  <c:v>1.1999999999999999E-6</c:v>
                </c:pt>
                <c:pt idx="206">
                  <c:v>1.1999999999999999E-6</c:v>
                </c:pt>
                <c:pt idx="207">
                  <c:v>1.1999999999999999E-6</c:v>
                </c:pt>
                <c:pt idx="208">
                  <c:v>1.1999999999999999E-6</c:v>
                </c:pt>
                <c:pt idx="209">
                  <c:v>1.1999999999999999E-6</c:v>
                </c:pt>
                <c:pt idx="210">
                  <c:v>1.1999999999999999E-6</c:v>
                </c:pt>
                <c:pt idx="211">
                  <c:v>1.1999999999999999E-6</c:v>
                </c:pt>
                <c:pt idx="212">
                  <c:v>1.1999999999999999E-6</c:v>
                </c:pt>
                <c:pt idx="213">
                  <c:v>1.1999999999999999E-6</c:v>
                </c:pt>
                <c:pt idx="214">
                  <c:v>1.1999999999999999E-6</c:v>
                </c:pt>
                <c:pt idx="215">
                  <c:v>1.1999999999999999E-6</c:v>
                </c:pt>
                <c:pt idx="216">
                  <c:v>1.1999999999999999E-6</c:v>
                </c:pt>
                <c:pt idx="217">
                  <c:v>1.1999999999999999E-6</c:v>
                </c:pt>
                <c:pt idx="218">
                  <c:v>1.1999999999999999E-6</c:v>
                </c:pt>
                <c:pt idx="219">
                  <c:v>1.1999999999999999E-6</c:v>
                </c:pt>
                <c:pt idx="220">
                  <c:v>1.1999999999999999E-6</c:v>
                </c:pt>
                <c:pt idx="221">
                  <c:v>1.1999999999999999E-6</c:v>
                </c:pt>
                <c:pt idx="222">
                  <c:v>1.1999999999999999E-6</c:v>
                </c:pt>
                <c:pt idx="223">
                  <c:v>1.1999999999999999E-6</c:v>
                </c:pt>
                <c:pt idx="224">
                  <c:v>1.1999999999999999E-6</c:v>
                </c:pt>
                <c:pt idx="225">
                  <c:v>1.1999999999999999E-6</c:v>
                </c:pt>
                <c:pt idx="226">
                  <c:v>1.1999999999999999E-6</c:v>
                </c:pt>
                <c:pt idx="227">
                  <c:v>1.1999999999999999E-6</c:v>
                </c:pt>
                <c:pt idx="228">
                  <c:v>1.1999999999999999E-6</c:v>
                </c:pt>
                <c:pt idx="229">
                  <c:v>1.1999999999999999E-6</c:v>
                </c:pt>
                <c:pt idx="230">
                  <c:v>1.1999999999999999E-6</c:v>
                </c:pt>
                <c:pt idx="231">
                  <c:v>1.1999999999999999E-6</c:v>
                </c:pt>
                <c:pt idx="232">
                  <c:v>1.1999999999999999E-6</c:v>
                </c:pt>
                <c:pt idx="233">
                  <c:v>1.1999999999999999E-6</c:v>
                </c:pt>
                <c:pt idx="234">
                  <c:v>1.1999999999999999E-6</c:v>
                </c:pt>
                <c:pt idx="235">
                  <c:v>1.1999999999999999E-6</c:v>
                </c:pt>
                <c:pt idx="236">
                  <c:v>1.1999999999999999E-6</c:v>
                </c:pt>
                <c:pt idx="237">
                  <c:v>1.1999999999999999E-6</c:v>
                </c:pt>
                <c:pt idx="238">
                  <c:v>1.1999999999999999E-6</c:v>
                </c:pt>
                <c:pt idx="239">
                  <c:v>1.1999999999999999E-6</c:v>
                </c:pt>
                <c:pt idx="240">
                  <c:v>1.1999999999999999E-6</c:v>
                </c:pt>
                <c:pt idx="241">
                  <c:v>1.1999999999999999E-6</c:v>
                </c:pt>
                <c:pt idx="242">
                  <c:v>1.1999999999999999E-6</c:v>
                </c:pt>
                <c:pt idx="243">
                  <c:v>1.1999999999999999E-6</c:v>
                </c:pt>
                <c:pt idx="244">
                  <c:v>1.1999999999999999E-6</c:v>
                </c:pt>
                <c:pt idx="245">
                  <c:v>1.1999999999999999E-6</c:v>
                </c:pt>
                <c:pt idx="246">
                  <c:v>1.1999999999999999E-6</c:v>
                </c:pt>
                <c:pt idx="247">
                  <c:v>1.1999999999999999E-6</c:v>
                </c:pt>
                <c:pt idx="248">
                  <c:v>1.1999999999999999E-6</c:v>
                </c:pt>
                <c:pt idx="249">
                  <c:v>1.1999999999999999E-6</c:v>
                </c:pt>
                <c:pt idx="250">
                  <c:v>1.1999999999999999E-6</c:v>
                </c:pt>
                <c:pt idx="251">
                  <c:v>1.1999999999999999E-6</c:v>
                </c:pt>
                <c:pt idx="252">
                  <c:v>1.1999999999999999E-6</c:v>
                </c:pt>
                <c:pt idx="253">
                  <c:v>1.1999999999999999E-6</c:v>
                </c:pt>
                <c:pt idx="254">
                  <c:v>1.1999999999999999E-6</c:v>
                </c:pt>
                <c:pt idx="255">
                  <c:v>1.1999999999999999E-6</c:v>
                </c:pt>
                <c:pt idx="256">
                  <c:v>1.1999999999999999E-6</c:v>
                </c:pt>
                <c:pt idx="257">
                  <c:v>1.1999999999999999E-6</c:v>
                </c:pt>
                <c:pt idx="258">
                  <c:v>1.1999999999999999E-6</c:v>
                </c:pt>
                <c:pt idx="259">
                  <c:v>1.1999999999999999E-6</c:v>
                </c:pt>
                <c:pt idx="260">
                  <c:v>1.1999999999999999E-6</c:v>
                </c:pt>
                <c:pt idx="261">
                  <c:v>1.1999999999999999E-6</c:v>
                </c:pt>
                <c:pt idx="262">
                  <c:v>1.1999999999999999E-6</c:v>
                </c:pt>
                <c:pt idx="263">
                  <c:v>1.1999999999999999E-6</c:v>
                </c:pt>
                <c:pt idx="264">
                  <c:v>1.1999999999999999E-6</c:v>
                </c:pt>
                <c:pt idx="265">
                  <c:v>1.1999999999999999E-6</c:v>
                </c:pt>
                <c:pt idx="266">
                  <c:v>1.1999999999999999E-6</c:v>
                </c:pt>
                <c:pt idx="267">
                  <c:v>1.1999999999999999E-6</c:v>
                </c:pt>
                <c:pt idx="268">
                  <c:v>1.1999999999999999E-6</c:v>
                </c:pt>
                <c:pt idx="269">
                  <c:v>1.1999999999999999E-6</c:v>
                </c:pt>
                <c:pt idx="270">
                  <c:v>1.1999999999999999E-6</c:v>
                </c:pt>
                <c:pt idx="271">
                  <c:v>1.1999999999999999E-6</c:v>
                </c:pt>
                <c:pt idx="272">
                  <c:v>1.1999999999999999E-6</c:v>
                </c:pt>
                <c:pt idx="273">
                  <c:v>1.1999999999999999E-6</c:v>
                </c:pt>
                <c:pt idx="274">
                  <c:v>1.1999999999999999E-6</c:v>
                </c:pt>
                <c:pt idx="275">
                  <c:v>1.1999999999999999E-6</c:v>
                </c:pt>
                <c:pt idx="276">
                  <c:v>1.1999999999999999E-6</c:v>
                </c:pt>
                <c:pt idx="277">
                  <c:v>1.1999999999999999E-6</c:v>
                </c:pt>
                <c:pt idx="278">
                  <c:v>1.1999999999999999E-6</c:v>
                </c:pt>
                <c:pt idx="279">
                  <c:v>1.1999999999999999E-6</c:v>
                </c:pt>
                <c:pt idx="280">
                  <c:v>1.1999999999999999E-6</c:v>
                </c:pt>
                <c:pt idx="281">
                  <c:v>1.1999999999999999E-6</c:v>
                </c:pt>
                <c:pt idx="282">
                  <c:v>1.1999999999999999E-6</c:v>
                </c:pt>
                <c:pt idx="283">
                  <c:v>1.1999999999999999E-6</c:v>
                </c:pt>
                <c:pt idx="284">
                  <c:v>1.1999999999999999E-6</c:v>
                </c:pt>
                <c:pt idx="285">
                  <c:v>1.1999999999999999E-6</c:v>
                </c:pt>
                <c:pt idx="286">
                  <c:v>1.1999999999999999E-6</c:v>
                </c:pt>
                <c:pt idx="287">
                  <c:v>1.1999999999999999E-6</c:v>
                </c:pt>
                <c:pt idx="288">
                  <c:v>1.1999999999999999E-6</c:v>
                </c:pt>
                <c:pt idx="289">
                  <c:v>1.1999999999999999E-6</c:v>
                </c:pt>
                <c:pt idx="290">
                  <c:v>1.1999999999999999E-6</c:v>
                </c:pt>
                <c:pt idx="291">
                  <c:v>1.1999999999999999E-6</c:v>
                </c:pt>
                <c:pt idx="292">
                  <c:v>1.1999999999999999E-6</c:v>
                </c:pt>
                <c:pt idx="293">
                  <c:v>1.1999999999999999E-6</c:v>
                </c:pt>
                <c:pt idx="294">
                  <c:v>1.1999999999999999E-6</c:v>
                </c:pt>
                <c:pt idx="295">
                  <c:v>1.1999999999999999E-6</c:v>
                </c:pt>
                <c:pt idx="296">
                  <c:v>1.1999999999999999E-6</c:v>
                </c:pt>
                <c:pt idx="297">
                  <c:v>1.1999999999999999E-6</c:v>
                </c:pt>
                <c:pt idx="298">
                  <c:v>1.1999999999999999E-6</c:v>
                </c:pt>
                <c:pt idx="299">
                  <c:v>1.1999999999999999E-6</c:v>
                </c:pt>
                <c:pt idx="300">
                  <c:v>1.1999999999999999E-6</c:v>
                </c:pt>
                <c:pt idx="301">
                  <c:v>1.1999999999999999E-6</c:v>
                </c:pt>
                <c:pt idx="302">
                  <c:v>1.1999999999999999E-6</c:v>
                </c:pt>
                <c:pt idx="303">
                  <c:v>1.1999999999999999E-6</c:v>
                </c:pt>
                <c:pt idx="304">
                  <c:v>1.1999999999999999E-6</c:v>
                </c:pt>
                <c:pt idx="305">
                  <c:v>1.1999999999999999E-6</c:v>
                </c:pt>
                <c:pt idx="306">
                  <c:v>1.1999999999999999E-6</c:v>
                </c:pt>
                <c:pt idx="307">
                  <c:v>1.1999999999999999E-6</c:v>
                </c:pt>
                <c:pt idx="308">
                  <c:v>1.1999999999999999E-6</c:v>
                </c:pt>
                <c:pt idx="309">
                  <c:v>1.1999999999999999E-6</c:v>
                </c:pt>
                <c:pt idx="310">
                  <c:v>1.1999999999999999E-6</c:v>
                </c:pt>
                <c:pt idx="311">
                  <c:v>1.1999999999999999E-6</c:v>
                </c:pt>
                <c:pt idx="312">
                  <c:v>1.1999999999999999E-6</c:v>
                </c:pt>
                <c:pt idx="313">
                  <c:v>1.1999999999999999E-6</c:v>
                </c:pt>
                <c:pt idx="314">
                  <c:v>1.1999999999999999E-6</c:v>
                </c:pt>
                <c:pt idx="315">
                  <c:v>1.1999999999999999E-6</c:v>
                </c:pt>
                <c:pt idx="316">
                  <c:v>1.1999999999999999E-6</c:v>
                </c:pt>
                <c:pt idx="317">
                  <c:v>1.1999999999999999E-6</c:v>
                </c:pt>
                <c:pt idx="318">
                  <c:v>1.1999999999999999E-6</c:v>
                </c:pt>
                <c:pt idx="319">
                  <c:v>1.1999999999999999E-6</c:v>
                </c:pt>
                <c:pt idx="320">
                  <c:v>1.1999999999999999E-6</c:v>
                </c:pt>
                <c:pt idx="321">
                  <c:v>1.1999999999999999E-6</c:v>
                </c:pt>
                <c:pt idx="322">
                  <c:v>1.1999999999999999E-6</c:v>
                </c:pt>
                <c:pt idx="323">
                  <c:v>1.1999999999999999E-6</c:v>
                </c:pt>
                <c:pt idx="324">
                  <c:v>1.1999999999999999E-6</c:v>
                </c:pt>
                <c:pt idx="325">
                  <c:v>1.1999999999999999E-6</c:v>
                </c:pt>
                <c:pt idx="326">
                  <c:v>1.1999999999999999E-6</c:v>
                </c:pt>
                <c:pt idx="327">
                  <c:v>1.1999999999999999E-6</c:v>
                </c:pt>
                <c:pt idx="328">
                  <c:v>1.1999999999999999E-6</c:v>
                </c:pt>
                <c:pt idx="329">
                  <c:v>1.1999999999999999E-6</c:v>
                </c:pt>
                <c:pt idx="330">
                  <c:v>1.1999999999999999E-6</c:v>
                </c:pt>
                <c:pt idx="331">
                  <c:v>1.1999999999999999E-6</c:v>
                </c:pt>
                <c:pt idx="332">
                  <c:v>1.1999999999999999E-6</c:v>
                </c:pt>
                <c:pt idx="333">
                  <c:v>1.1999999999999999E-6</c:v>
                </c:pt>
                <c:pt idx="334">
                  <c:v>1.1999999999999999E-6</c:v>
                </c:pt>
                <c:pt idx="335">
                  <c:v>1.1999999999999999E-6</c:v>
                </c:pt>
                <c:pt idx="336">
                  <c:v>1.1999999999999999E-6</c:v>
                </c:pt>
                <c:pt idx="337">
                  <c:v>1.1999999999999999E-6</c:v>
                </c:pt>
                <c:pt idx="338">
                  <c:v>1.1999999999999999E-6</c:v>
                </c:pt>
                <c:pt idx="339">
                  <c:v>1.1999999999999999E-6</c:v>
                </c:pt>
                <c:pt idx="340">
                  <c:v>1.1999999999999999E-6</c:v>
                </c:pt>
                <c:pt idx="341">
                  <c:v>1.1999999999999999E-6</c:v>
                </c:pt>
                <c:pt idx="342">
                  <c:v>1.1999999999999999E-6</c:v>
                </c:pt>
                <c:pt idx="343">
                  <c:v>1.1999999999999999E-6</c:v>
                </c:pt>
                <c:pt idx="344">
                  <c:v>1.1999999999999999E-6</c:v>
                </c:pt>
                <c:pt idx="345">
                  <c:v>1.1999999999999999E-6</c:v>
                </c:pt>
                <c:pt idx="346">
                  <c:v>1.1999999999999999E-6</c:v>
                </c:pt>
                <c:pt idx="347">
                  <c:v>1.1999999999999999E-6</c:v>
                </c:pt>
                <c:pt idx="348">
                  <c:v>1.1999999999999999E-6</c:v>
                </c:pt>
                <c:pt idx="349">
                  <c:v>1.1999999999999999E-6</c:v>
                </c:pt>
                <c:pt idx="350">
                  <c:v>1.1999999999999999E-6</c:v>
                </c:pt>
                <c:pt idx="351">
                  <c:v>1.1999999999999999E-6</c:v>
                </c:pt>
                <c:pt idx="352">
                  <c:v>1.1999999999999999E-6</c:v>
                </c:pt>
                <c:pt idx="353">
                  <c:v>1.1999999999999999E-6</c:v>
                </c:pt>
                <c:pt idx="354">
                  <c:v>1.1999999999999999E-6</c:v>
                </c:pt>
                <c:pt idx="355">
                  <c:v>1.1999999999999999E-6</c:v>
                </c:pt>
                <c:pt idx="356">
                  <c:v>1.1999999999999999E-6</c:v>
                </c:pt>
                <c:pt idx="357">
                  <c:v>1.1999999999999999E-6</c:v>
                </c:pt>
                <c:pt idx="358">
                  <c:v>1.1999999999999999E-6</c:v>
                </c:pt>
                <c:pt idx="359">
                  <c:v>1.1999999999999999E-6</c:v>
                </c:pt>
                <c:pt idx="360">
                  <c:v>1.1999999999999999E-6</c:v>
                </c:pt>
                <c:pt idx="361">
                  <c:v>1.1999999999999999E-6</c:v>
                </c:pt>
                <c:pt idx="362">
                  <c:v>1.1999999999999999E-6</c:v>
                </c:pt>
                <c:pt idx="363">
                  <c:v>1.1999999999999999E-6</c:v>
                </c:pt>
                <c:pt idx="364">
                  <c:v>1.1999999999999999E-6</c:v>
                </c:pt>
              </c:numCache>
            </c:numRef>
          </c:val>
          <c:smooth val="0"/>
          <c:extLst>
            <c:ext xmlns:c16="http://schemas.microsoft.com/office/drawing/2014/chart" uri="{C3380CC4-5D6E-409C-BE32-E72D297353CC}">
              <c16:uniqueId val="{00000003-85C5-4309-8DD0-0FD1664A4E4E}"/>
            </c:ext>
          </c:extLst>
        </c:ser>
        <c:ser>
          <c:idx val="4"/>
          <c:order val="4"/>
          <c:tx>
            <c:strRef>
              <c:f>'JSM GM A198'!$H$54</c:f>
              <c:strCache>
                <c:ptCount val="1"/>
                <c:pt idx="0">
                  <c:v>Qt,d</c:v>
                </c:pt>
              </c:strCache>
            </c:strRef>
          </c:tx>
          <c:spPr>
            <a:ln w="12700">
              <a:pattFill prst="pct50">
                <a:fgClr>
                  <a:srgbClr val="00FF00"/>
                </a:fgClr>
                <a:bgClr>
                  <a:srgbClr val="FFFFFF"/>
                </a:bgClr>
              </a:patt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A198'!$H$55:$H$419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4-85C5-4309-8DD0-0FD1664A4E4E}"/>
            </c:ext>
          </c:extLst>
        </c:ser>
        <c:ser>
          <c:idx val="5"/>
          <c:order val="5"/>
          <c:tx>
            <c:strRef>
              <c:f>'JSM GM A198'!$I$54</c:f>
              <c:strCache>
                <c:ptCount val="1"/>
                <c:pt idx="0">
                  <c:v>max. mögl. Tagesmenge Qm, d</c:v>
                </c:pt>
              </c:strCache>
            </c:strRef>
          </c:tx>
          <c:spPr>
            <a:ln w="25400">
              <a:solidFill>
                <a:srgbClr val="9BBB59">
                  <a:lumMod val="60000"/>
                  <a:lumOff val="40000"/>
                </a:srgbClr>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A198'!$I$55:$I$419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5-85C5-4309-8DD0-0FD1664A4E4E}"/>
            </c:ext>
          </c:extLst>
        </c:ser>
        <c:dLbls>
          <c:showLegendKey val="0"/>
          <c:showVal val="0"/>
          <c:showCatName val="0"/>
          <c:showSerName val="0"/>
          <c:showPercent val="0"/>
          <c:showBubbleSize val="0"/>
        </c:dLbls>
        <c:smooth val="0"/>
        <c:axId val="386874576"/>
        <c:axId val="392300616"/>
      </c:lineChart>
      <c:catAx>
        <c:axId val="386874576"/>
        <c:scaling>
          <c:orientation val="minMax"/>
        </c:scaling>
        <c:delete val="0"/>
        <c:axPos val="b"/>
        <c:numFmt formatCode="0"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Arial"/>
                <a:ea typeface="Arial"/>
                <a:cs typeface="Arial"/>
              </a:defRPr>
            </a:pPr>
            <a:endParaRPr lang="de-DE"/>
          </a:p>
        </c:txPr>
        <c:crossAx val="392300616"/>
        <c:crosses val="autoZero"/>
        <c:auto val="1"/>
        <c:lblAlgn val="ctr"/>
        <c:lblOffset val="100"/>
        <c:tickLblSkip val="8"/>
        <c:tickMarkSkip val="1"/>
        <c:noMultiLvlLbl val="0"/>
      </c:catAx>
      <c:valAx>
        <c:axId val="392300616"/>
        <c:scaling>
          <c:orientation val="minMax"/>
        </c:scaling>
        <c:delete val="0"/>
        <c:axPos val="l"/>
        <c:title>
          <c:tx>
            <c:rich>
              <a:bodyPr/>
              <a:lstStyle/>
              <a:p>
                <a:pPr>
                  <a:defRPr sz="825" b="1" i="0" u="none" strike="noStrike" baseline="0">
                    <a:solidFill>
                      <a:srgbClr val="000000"/>
                    </a:solidFill>
                    <a:latin typeface="Arial"/>
                    <a:ea typeface="Arial"/>
                    <a:cs typeface="Arial"/>
                  </a:defRPr>
                </a:pPr>
                <a:r>
                  <a:rPr lang="de-DE"/>
                  <a:t>cbm</a:t>
                </a:r>
              </a:p>
            </c:rich>
          </c:tx>
          <c:layout>
            <c:manualLayout>
              <c:xMode val="edge"/>
              <c:yMode val="edge"/>
              <c:x val="5.9239403585190174E-3"/>
              <c:y val="0.4494056992875901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386874576"/>
        <c:crosses val="autoZero"/>
        <c:crossBetween val="between"/>
      </c:valAx>
      <c:spPr>
        <a:noFill/>
        <a:ln w="12700">
          <a:solidFill>
            <a:srgbClr val="C0C0C0"/>
          </a:solidFill>
          <a:prstDash val="solid"/>
        </a:ln>
      </c:spPr>
    </c:plotArea>
    <c:legend>
      <c:legendPos val="r"/>
      <c:layout>
        <c:manualLayout>
          <c:xMode val="edge"/>
          <c:yMode val="edge"/>
          <c:x val="6.3392807282068503E-2"/>
          <c:y val="2.3809523809523812E-2"/>
          <c:w val="0.93125034902552051"/>
          <c:h val="5.9524121984751932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9" footer="0.4921259845000013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de-DE"/>
              <a:t>Jahresdauerlinie</a:t>
            </a:r>
          </a:p>
        </c:rich>
      </c:tx>
      <c:layout>
        <c:manualLayout>
          <c:xMode val="edge"/>
          <c:yMode val="edge"/>
          <c:x val="0.37267081810852082"/>
          <c:y val="4.5918107421558899E-2"/>
        </c:manualLayout>
      </c:layout>
      <c:overlay val="0"/>
      <c:spPr>
        <a:noFill/>
        <a:ln w="25400">
          <a:noFill/>
        </a:ln>
      </c:spPr>
    </c:title>
    <c:autoTitleDeleted val="0"/>
    <c:plotArea>
      <c:layout>
        <c:manualLayout>
          <c:layoutTarget val="inner"/>
          <c:xMode val="edge"/>
          <c:yMode val="edge"/>
          <c:x val="0.20181396746782959"/>
          <c:y val="8.1368559906780033E-2"/>
          <c:w val="0.71894409937888837"/>
          <c:h val="0.72309558843959565"/>
        </c:manualLayout>
      </c:layout>
      <c:barChart>
        <c:barDir val="col"/>
        <c:grouping val="clustered"/>
        <c:varyColors val="0"/>
        <c:ser>
          <c:idx val="0"/>
          <c:order val="0"/>
          <c:tx>
            <c:strRef>
              <c:f>'JSM Jahresdauerlinie'!$U$17</c:f>
              <c:strCache>
                <c:ptCount val="1"/>
                <c:pt idx="0">
                  <c:v>Menge</c:v>
                </c:pt>
              </c:strCache>
            </c:strRef>
          </c:tx>
          <c:spPr>
            <a:solidFill>
              <a:srgbClr val="9999FF"/>
            </a:solidFill>
            <a:ln w="38100">
              <a:solidFill>
                <a:srgbClr val="00FFFF"/>
              </a:solidFill>
              <a:prstDash val="solid"/>
            </a:ln>
          </c:spPr>
          <c:invertIfNegative val="0"/>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Jahresdauerlinie'!$U$18:$U$384</c:f>
              <c:numCache>
                <c:formatCode>General</c:formatCode>
                <c:ptCount val="367"/>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9.9999999999999995E-7</c:v>
                </c:pt>
                <c:pt idx="16">
                  <c:v>9.9999999999999995E-7</c:v>
                </c:pt>
                <c:pt idx="17">
                  <c:v>9.9999999999999995E-7</c:v>
                </c:pt>
                <c:pt idx="18">
                  <c:v>9.9999999999999995E-7</c:v>
                </c:pt>
                <c:pt idx="19">
                  <c:v>9.9999999999999995E-7</c:v>
                </c:pt>
                <c:pt idx="20">
                  <c:v>9.9999999999999995E-7</c:v>
                </c:pt>
                <c:pt idx="21">
                  <c:v>9.9999999999999995E-7</c:v>
                </c:pt>
                <c:pt idx="22">
                  <c:v>9.9999999999999995E-7</c:v>
                </c:pt>
                <c:pt idx="23">
                  <c:v>9.9999999999999995E-7</c:v>
                </c:pt>
                <c:pt idx="24">
                  <c:v>9.9999999999999995E-7</c:v>
                </c:pt>
                <c:pt idx="25">
                  <c:v>9.9999999999999995E-7</c:v>
                </c:pt>
                <c:pt idx="26">
                  <c:v>9.9999999999999995E-7</c:v>
                </c:pt>
                <c:pt idx="27">
                  <c:v>9.9999999999999995E-7</c:v>
                </c:pt>
                <c:pt idx="28">
                  <c:v>9.9999999999999995E-7</c:v>
                </c:pt>
                <c:pt idx="29">
                  <c:v>9.9999999999999995E-7</c:v>
                </c:pt>
                <c:pt idx="30">
                  <c:v>9.9999999999999995E-7</c:v>
                </c:pt>
                <c:pt idx="31">
                  <c:v>9.9999999999999995E-7</c:v>
                </c:pt>
                <c:pt idx="32">
                  <c:v>9.9999999999999995E-7</c:v>
                </c:pt>
                <c:pt idx="33">
                  <c:v>9.9999999999999995E-7</c:v>
                </c:pt>
                <c:pt idx="34">
                  <c:v>9.9999999999999995E-7</c:v>
                </c:pt>
                <c:pt idx="35">
                  <c:v>9.9999999999999995E-7</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9.9999999999999995E-7</c:v>
                </c:pt>
                <c:pt idx="45">
                  <c:v>9.9999999999999995E-7</c:v>
                </c:pt>
                <c:pt idx="46">
                  <c:v>9.9999999999999995E-7</c:v>
                </c:pt>
                <c:pt idx="47">
                  <c:v>9.9999999999999995E-7</c:v>
                </c:pt>
                <c:pt idx="48">
                  <c:v>9.9999999999999995E-7</c:v>
                </c:pt>
                <c:pt idx="49">
                  <c:v>9.9999999999999995E-7</c:v>
                </c:pt>
                <c:pt idx="50">
                  <c:v>9.9999999999999995E-7</c:v>
                </c:pt>
                <c:pt idx="51">
                  <c:v>9.9999999999999995E-7</c:v>
                </c:pt>
                <c:pt idx="52">
                  <c:v>9.9999999999999995E-7</c:v>
                </c:pt>
                <c:pt idx="53">
                  <c:v>9.9999999999999995E-7</c:v>
                </c:pt>
                <c:pt idx="54">
                  <c:v>9.9999999999999995E-7</c:v>
                </c:pt>
                <c:pt idx="55">
                  <c:v>9.9999999999999995E-7</c:v>
                </c:pt>
                <c:pt idx="56">
                  <c:v>9.9999999999999995E-7</c:v>
                </c:pt>
                <c:pt idx="57">
                  <c:v>9.9999999999999995E-7</c:v>
                </c:pt>
                <c:pt idx="58">
                  <c:v>9.9999999999999995E-7</c:v>
                </c:pt>
                <c:pt idx="59">
                  <c:v>9.9999999999999995E-7</c:v>
                </c:pt>
                <c:pt idx="60">
                  <c:v>9.9999999999999995E-7</c:v>
                </c:pt>
                <c:pt idx="61">
                  <c:v>9.9999999999999995E-7</c:v>
                </c:pt>
                <c:pt idx="62">
                  <c:v>9.9999999999999995E-7</c:v>
                </c:pt>
                <c:pt idx="63">
                  <c:v>9.9999999999999995E-7</c:v>
                </c:pt>
                <c:pt idx="64">
                  <c:v>9.9999999999999995E-7</c:v>
                </c:pt>
                <c:pt idx="65">
                  <c:v>9.9999999999999995E-7</c:v>
                </c:pt>
                <c:pt idx="66">
                  <c:v>9.9999999999999995E-7</c:v>
                </c:pt>
                <c:pt idx="67">
                  <c:v>9.9999999999999995E-7</c:v>
                </c:pt>
                <c:pt idx="68">
                  <c:v>9.9999999999999995E-7</c:v>
                </c:pt>
                <c:pt idx="69">
                  <c:v>9.9999999999999995E-7</c:v>
                </c:pt>
                <c:pt idx="70">
                  <c:v>9.9999999999999995E-7</c:v>
                </c:pt>
                <c:pt idx="71">
                  <c:v>9.9999999999999995E-7</c:v>
                </c:pt>
                <c:pt idx="72">
                  <c:v>9.9999999999999995E-7</c:v>
                </c:pt>
                <c:pt idx="73">
                  <c:v>9.9999999999999995E-7</c:v>
                </c:pt>
                <c:pt idx="74">
                  <c:v>9.9999999999999995E-7</c:v>
                </c:pt>
                <c:pt idx="75">
                  <c:v>9.9999999999999995E-7</c:v>
                </c:pt>
                <c:pt idx="76">
                  <c:v>9.9999999999999995E-7</c:v>
                </c:pt>
                <c:pt idx="77">
                  <c:v>9.9999999999999995E-7</c:v>
                </c:pt>
                <c:pt idx="78">
                  <c:v>9.9999999999999995E-7</c:v>
                </c:pt>
                <c:pt idx="79">
                  <c:v>9.9999999999999995E-7</c:v>
                </c:pt>
                <c:pt idx="80">
                  <c:v>9.9999999999999995E-7</c:v>
                </c:pt>
                <c:pt idx="81">
                  <c:v>9.9999999999999995E-7</c:v>
                </c:pt>
                <c:pt idx="82">
                  <c:v>9.9999999999999995E-7</c:v>
                </c:pt>
                <c:pt idx="83">
                  <c:v>9.9999999999999995E-7</c:v>
                </c:pt>
                <c:pt idx="84">
                  <c:v>9.9999999999999995E-7</c:v>
                </c:pt>
                <c:pt idx="85">
                  <c:v>9.9999999999999995E-7</c:v>
                </c:pt>
                <c:pt idx="86">
                  <c:v>9.9999999999999995E-7</c:v>
                </c:pt>
                <c:pt idx="87">
                  <c:v>9.9999999999999995E-7</c:v>
                </c:pt>
                <c:pt idx="88">
                  <c:v>9.9999999999999995E-7</c:v>
                </c:pt>
                <c:pt idx="89">
                  <c:v>9.9999999999999995E-7</c:v>
                </c:pt>
                <c:pt idx="90">
                  <c:v>9.9999999999999995E-7</c:v>
                </c:pt>
                <c:pt idx="91">
                  <c:v>9.9999999999999995E-7</c:v>
                </c:pt>
                <c:pt idx="92">
                  <c:v>9.9999999999999995E-7</c:v>
                </c:pt>
                <c:pt idx="93">
                  <c:v>9.9999999999999995E-7</c:v>
                </c:pt>
                <c:pt idx="94">
                  <c:v>9.9999999999999995E-7</c:v>
                </c:pt>
                <c:pt idx="95">
                  <c:v>9.9999999999999995E-7</c:v>
                </c:pt>
                <c:pt idx="96">
                  <c:v>9.9999999999999995E-7</c:v>
                </c:pt>
                <c:pt idx="97">
                  <c:v>9.9999999999999995E-7</c:v>
                </c:pt>
                <c:pt idx="98">
                  <c:v>9.9999999999999995E-7</c:v>
                </c:pt>
                <c:pt idx="99">
                  <c:v>9.9999999999999995E-7</c:v>
                </c:pt>
                <c:pt idx="100">
                  <c:v>9.9999999999999995E-7</c:v>
                </c:pt>
                <c:pt idx="101">
                  <c:v>9.9999999999999995E-7</c:v>
                </c:pt>
                <c:pt idx="102">
                  <c:v>9.9999999999999995E-7</c:v>
                </c:pt>
                <c:pt idx="103">
                  <c:v>9.9999999999999995E-7</c:v>
                </c:pt>
                <c:pt idx="104">
                  <c:v>9.9999999999999995E-7</c:v>
                </c:pt>
                <c:pt idx="105">
                  <c:v>9.9999999999999995E-7</c:v>
                </c:pt>
                <c:pt idx="106">
                  <c:v>9.9999999999999995E-7</c:v>
                </c:pt>
                <c:pt idx="107">
                  <c:v>9.9999999999999995E-7</c:v>
                </c:pt>
                <c:pt idx="108">
                  <c:v>9.9999999999999995E-7</c:v>
                </c:pt>
                <c:pt idx="109">
                  <c:v>9.9999999999999995E-7</c:v>
                </c:pt>
                <c:pt idx="110">
                  <c:v>9.9999999999999995E-7</c:v>
                </c:pt>
                <c:pt idx="111">
                  <c:v>9.9999999999999995E-7</c:v>
                </c:pt>
                <c:pt idx="112">
                  <c:v>9.9999999999999995E-7</c:v>
                </c:pt>
                <c:pt idx="113">
                  <c:v>9.9999999999999995E-7</c:v>
                </c:pt>
                <c:pt idx="114">
                  <c:v>9.9999999999999995E-7</c:v>
                </c:pt>
                <c:pt idx="115">
                  <c:v>9.9999999999999995E-7</c:v>
                </c:pt>
                <c:pt idx="116">
                  <c:v>9.9999999999999995E-7</c:v>
                </c:pt>
                <c:pt idx="117">
                  <c:v>9.9999999999999995E-7</c:v>
                </c:pt>
                <c:pt idx="118">
                  <c:v>9.9999999999999995E-7</c:v>
                </c:pt>
                <c:pt idx="119">
                  <c:v>9.9999999999999995E-7</c:v>
                </c:pt>
                <c:pt idx="120">
                  <c:v>9.9999999999999995E-7</c:v>
                </c:pt>
                <c:pt idx="121">
                  <c:v>9.9999999999999995E-7</c:v>
                </c:pt>
                <c:pt idx="122">
                  <c:v>9.9999999999999995E-7</c:v>
                </c:pt>
                <c:pt idx="123">
                  <c:v>9.9999999999999995E-7</c:v>
                </c:pt>
                <c:pt idx="124">
                  <c:v>9.9999999999999995E-7</c:v>
                </c:pt>
                <c:pt idx="125">
                  <c:v>9.9999999999999995E-7</c:v>
                </c:pt>
                <c:pt idx="126">
                  <c:v>9.9999999999999995E-7</c:v>
                </c:pt>
                <c:pt idx="127">
                  <c:v>9.9999999999999995E-7</c:v>
                </c:pt>
                <c:pt idx="128">
                  <c:v>9.9999999999999995E-7</c:v>
                </c:pt>
                <c:pt idx="129">
                  <c:v>9.9999999999999995E-7</c:v>
                </c:pt>
                <c:pt idx="130">
                  <c:v>9.9999999999999995E-7</c:v>
                </c:pt>
                <c:pt idx="131">
                  <c:v>9.9999999999999995E-7</c:v>
                </c:pt>
                <c:pt idx="132">
                  <c:v>9.9999999999999995E-7</c:v>
                </c:pt>
                <c:pt idx="133">
                  <c:v>9.9999999999999995E-7</c:v>
                </c:pt>
                <c:pt idx="134">
                  <c:v>9.9999999999999995E-7</c:v>
                </c:pt>
                <c:pt idx="135">
                  <c:v>9.9999999999999995E-7</c:v>
                </c:pt>
                <c:pt idx="136">
                  <c:v>9.9999999999999995E-7</c:v>
                </c:pt>
                <c:pt idx="137">
                  <c:v>9.9999999999999995E-7</c:v>
                </c:pt>
                <c:pt idx="138">
                  <c:v>9.9999999999999995E-7</c:v>
                </c:pt>
                <c:pt idx="139">
                  <c:v>9.9999999999999995E-7</c:v>
                </c:pt>
                <c:pt idx="140">
                  <c:v>9.9999999999999995E-7</c:v>
                </c:pt>
                <c:pt idx="141">
                  <c:v>9.9999999999999995E-7</c:v>
                </c:pt>
                <c:pt idx="142">
                  <c:v>9.9999999999999995E-7</c:v>
                </c:pt>
                <c:pt idx="143">
                  <c:v>9.9999999999999995E-7</c:v>
                </c:pt>
                <c:pt idx="144">
                  <c:v>9.9999999999999995E-7</c:v>
                </c:pt>
                <c:pt idx="145">
                  <c:v>9.9999999999999995E-7</c:v>
                </c:pt>
                <c:pt idx="146">
                  <c:v>9.9999999999999995E-7</c:v>
                </c:pt>
                <c:pt idx="147">
                  <c:v>9.9999999999999995E-7</c:v>
                </c:pt>
                <c:pt idx="148">
                  <c:v>9.9999999999999995E-7</c:v>
                </c:pt>
                <c:pt idx="149">
                  <c:v>9.9999999999999995E-7</c:v>
                </c:pt>
                <c:pt idx="150">
                  <c:v>9.9999999999999995E-7</c:v>
                </c:pt>
                <c:pt idx="151">
                  <c:v>9.9999999999999995E-7</c:v>
                </c:pt>
                <c:pt idx="152">
                  <c:v>9.9999999999999995E-7</c:v>
                </c:pt>
                <c:pt idx="153">
                  <c:v>9.9999999999999995E-7</c:v>
                </c:pt>
                <c:pt idx="154">
                  <c:v>9.9999999999999995E-7</c:v>
                </c:pt>
                <c:pt idx="155">
                  <c:v>9.9999999999999995E-7</c:v>
                </c:pt>
                <c:pt idx="156">
                  <c:v>9.9999999999999995E-7</c:v>
                </c:pt>
                <c:pt idx="157">
                  <c:v>9.9999999999999995E-7</c:v>
                </c:pt>
                <c:pt idx="158">
                  <c:v>9.9999999999999995E-7</c:v>
                </c:pt>
                <c:pt idx="159">
                  <c:v>9.9999999999999995E-7</c:v>
                </c:pt>
                <c:pt idx="160">
                  <c:v>9.9999999999999995E-7</c:v>
                </c:pt>
                <c:pt idx="161">
                  <c:v>9.9999999999999995E-7</c:v>
                </c:pt>
                <c:pt idx="162">
                  <c:v>9.9999999999999995E-7</c:v>
                </c:pt>
                <c:pt idx="163">
                  <c:v>9.9999999999999995E-7</c:v>
                </c:pt>
                <c:pt idx="164">
                  <c:v>9.9999999999999995E-7</c:v>
                </c:pt>
                <c:pt idx="165">
                  <c:v>9.9999999999999995E-7</c:v>
                </c:pt>
                <c:pt idx="166">
                  <c:v>9.9999999999999995E-7</c:v>
                </c:pt>
                <c:pt idx="167">
                  <c:v>9.9999999999999995E-7</c:v>
                </c:pt>
                <c:pt idx="168">
                  <c:v>9.9999999999999995E-7</c:v>
                </c:pt>
                <c:pt idx="169">
                  <c:v>9.9999999999999995E-7</c:v>
                </c:pt>
                <c:pt idx="170">
                  <c:v>9.9999999999999995E-7</c:v>
                </c:pt>
                <c:pt idx="171">
                  <c:v>9.9999999999999995E-7</c:v>
                </c:pt>
                <c:pt idx="172">
                  <c:v>9.9999999999999995E-7</c:v>
                </c:pt>
                <c:pt idx="173">
                  <c:v>9.9999999999999995E-7</c:v>
                </c:pt>
                <c:pt idx="174">
                  <c:v>9.9999999999999995E-7</c:v>
                </c:pt>
                <c:pt idx="175">
                  <c:v>9.9999999999999995E-7</c:v>
                </c:pt>
                <c:pt idx="176">
                  <c:v>9.9999999999999995E-7</c:v>
                </c:pt>
                <c:pt idx="177">
                  <c:v>9.9999999999999995E-7</c:v>
                </c:pt>
                <c:pt idx="178">
                  <c:v>9.9999999999999995E-7</c:v>
                </c:pt>
                <c:pt idx="179">
                  <c:v>9.9999999999999995E-7</c:v>
                </c:pt>
                <c:pt idx="180">
                  <c:v>9.9999999999999995E-7</c:v>
                </c:pt>
                <c:pt idx="181">
                  <c:v>9.9999999999999995E-7</c:v>
                </c:pt>
                <c:pt idx="182">
                  <c:v>9.9999999999999995E-7</c:v>
                </c:pt>
                <c:pt idx="183">
                  <c:v>9.9999999999999995E-7</c:v>
                </c:pt>
                <c:pt idx="184">
                  <c:v>9.9999999999999995E-7</c:v>
                </c:pt>
                <c:pt idx="185">
                  <c:v>9.9999999999999995E-7</c:v>
                </c:pt>
                <c:pt idx="186">
                  <c:v>9.9999999999999995E-7</c:v>
                </c:pt>
                <c:pt idx="187">
                  <c:v>9.9999999999999995E-7</c:v>
                </c:pt>
                <c:pt idx="188">
                  <c:v>9.9999999999999995E-7</c:v>
                </c:pt>
                <c:pt idx="189">
                  <c:v>9.9999999999999995E-7</c:v>
                </c:pt>
                <c:pt idx="190">
                  <c:v>9.9999999999999995E-7</c:v>
                </c:pt>
                <c:pt idx="191">
                  <c:v>9.9999999999999995E-7</c:v>
                </c:pt>
                <c:pt idx="192">
                  <c:v>9.9999999999999995E-7</c:v>
                </c:pt>
                <c:pt idx="193">
                  <c:v>9.9999999999999995E-7</c:v>
                </c:pt>
                <c:pt idx="194">
                  <c:v>9.9999999999999995E-7</c:v>
                </c:pt>
                <c:pt idx="195">
                  <c:v>9.9999999999999995E-7</c:v>
                </c:pt>
                <c:pt idx="196">
                  <c:v>9.9999999999999995E-7</c:v>
                </c:pt>
                <c:pt idx="197">
                  <c:v>9.9999999999999995E-7</c:v>
                </c:pt>
                <c:pt idx="198">
                  <c:v>9.9999999999999995E-7</c:v>
                </c:pt>
                <c:pt idx="199">
                  <c:v>9.9999999999999995E-7</c:v>
                </c:pt>
                <c:pt idx="200">
                  <c:v>9.9999999999999995E-7</c:v>
                </c:pt>
                <c:pt idx="201">
                  <c:v>9.9999999999999995E-7</c:v>
                </c:pt>
                <c:pt idx="202">
                  <c:v>9.9999999999999995E-7</c:v>
                </c:pt>
                <c:pt idx="203">
                  <c:v>9.9999999999999995E-7</c:v>
                </c:pt>
                <c:pt idx="204">
                  <c:v>9.9999999999999995E-7</c:v>
                </c:pt>
                <c:pt idx="205">
                  <c:v>9.9999999999999995E-7</c:v>
                </c:pt>
                <c:pt idx="206">
                  <c:v>9.9999999999999995E-7</c:v>
                </c:pt>
                <c:pt idx="207">
                  <c:v>9.9999999999999995E-7</c:v>
                </c:pt>
                <c:pt idx="208">
                  <c:v>9.9999999999999995E-7</c:v>
                </c:pt>
                <c:pt idx="209">
                  <c:v>9.9999999999999995E-7</c:v>
                </c:pt>
                <c:pt idx="210">
                  <c:v>9.9999999999999995E-7</c:v>
                </c:pt>
                <c:pt idx="211">
                  <c:v>9.9999999999999995E-7</c:v>
                </c:pt>
                <c:pt idx="212">
                  <c:v>9.9999999999999995E-7</c:v>
                </c:pt>
                <c:pt idx="213">
                  <c:v>9.9999999999999995E-7</c:v>
                </c:pt>
                <c:pt idx="214">
                  <c:v>9.9999999999999995E-7</c:v>
                </c:pt>
                <c:pt idx="215">
                  <c:v>9.9999999999999995E-7</c:v>
                </c:pt>
                <c:pt idx="216">
                  <c:v>9.9999999999999995E-7</c:v>
                </c:pt>
                <c:pt idx="217">
                  <c:v>9.9999999999999995E-7</c:v>
                </c:pt>
                <c:pt idx="218">
                  <c:v>9.9999999999999995E-7</c:v>
                </c:pt>
                <c:pt idx="219">
                  <c:v>9.9999999999999995E-7</c:v>
                </c:pt>
                <c:pt idx="220">
                  <c:v>9.9999999999999995E-7</c:v>
                </c:pt>
                <c:pt idx="221">
                  <c:v>9.9999999999999995E-7</c:v>
                </c:pt>
                <c:pt idx="222">
                  <c:v>9.9999999999999995E-7</c:v>
                </c:pt>
                <c:pt idx="223">
                  <c:v>9.9999999999999995E-7</c:v>
                </c:pt>
                <c:pt idx="224">
                  <c:v>9.9999999999999995E-7</c:v>
                </c:pt>
                <c:pt idx="225">
                  <c:v>9.9999999999999995E-7</c:v>
                </c:pt>
                <c:pt idx="226">
                  <c:v>9.9999999999999995E-7</c:v>
                </c:pt>
                <c:pt idx="227">
                  <c:v>9.9999999999999995E-7</c:v>
                </c:pt>
                <c:pt idx="228">
                  <c:v>9.9999999999999995E-7</c:v>
                </c:pt>
                <c:pt idx="229">
                  <c:v>9.9999999999999995E-7</c:v>
                </c:pt>
                <c:pt idx="230">
                  <c:v>9.9999999999999995E-7</c:v>
                </c:pt>
                <c:pt idx="231">
                  <c:v>9.9999999999999995E-7</c:v>
                </c:pt>
                <c:pt idx="232">
                  <c:v>9.9999999999999995E-7</c:v>
                </c:pt>
                <c:pt idx="233">
                  <c:v>9.9999999999999995E-7</c:v>
                </c:pt>
                <c:pt idx="234">
                  <c:v>9.9999999999999995E-7</c:v>
                </c:pt>
                <c:pt idx="235">
                  <c:v>9.9999999999999995E-7</c:v>
                </c:pt>
                <c:pt idx="236">
                  <c:v>9.9999999999999995E-7</c:v>
                </c:pt>
                <c:pt idx="237">
                  <c:v>9.9999999999999995E-7</c:v>
                </c:pt>
                <c:pt idx="238">
                  <c:v>9.9999999999999995E-7</c:v>
                </c:pt>
                <c:pt idx="239">
                  <c:v>9.9999999999999995E-7</c:v>
                </c:pt>
                <c:pt idx="240">
                  <c:v>9.9999999999999995E-7</c:v>
                </c:pt>
                <c:pt idx="241">
                  <c:v>9.9999999999999995E-7</c:v>
                </c:pt>
                <c:pt idx="242">
                  <c:v>9.9999999999999995E-7</c:v>
                </c:pt>
                <c:pt idx="243">
                  <c:v>9.9999999999999995E-7</c:v>
                </c:pt>
                <c:pt idx="244">
                  <c:v>9.9999999999999995E-7</c:v>
                </c:pt>
                <c:pt idx="245">
                  <c:v>9.9999999999999995E-7</c:v>
                </c:pt>
                <c:pt idx="246">
                  <c:v>9.9999999999999995E-7</c:v>
                </c:pt>
                <c:pt idx="247">
                  <c:v>9.9999999999999995E-7</c:v>
                </c:pt>
                <c:pt idx="248">
                  <c:v>9.9999999999999995E-7</c:v>
                </c:pt>
                <c:pt idx="249">
                  <c:v>9.9999999999999995E-7</c:v>
                </c:pt>
                <c:pt idx="250">
                  <c:v>9.9999999999999995E-7</c:v>
                </c:pt>
                <c:pt idx="251">
                  <c:v>9.9999999999999995E-7</c:v>
                </c:pt>
                <c:pt idx="252">
                  <c:v>9.9999999999999995E-7</c:v>
                </c:pt>
                <c:pt idx="253">
                  <c:v>9.9999999999999995E-7</c:v>
                </c:pt>
                <c:pt idx="254">
                  <c:v>9.9999999999999995E-7</c:v>
                </c:pt>
                <c:pt idx="255">
                  <c:v>9.9999999999999995E-7</c:v>
                </c:pt>
                <c:pt idx="256">
                  <c:v>9.9999999999999995E-7</c:v>
                </c:pt>
                <c:pt idx="257">
                  <c:v>9.9999999999999995E-7</c:v>
                </c:pt>
                <c:pt idx="258">
                  <c:v>9.9999999999999995E-7</c:v>
                </c:pt>
                <c:pt idx="259">
                  <c:v>9.9999999999999995E-7</c:v>
                </c:pt>
                <c:pt idx="260">
                  <c:v>9.9999999999999995E-7</c:v>
                </c:pt>
                <c:pt idx="261">
                  <c:v>9.9999999999999995E-7</c:v>
                </c:pt>
                <c:pt idx="262">
                  <c:v>9.9999999999999995E-7</c:v>
                </c:pt>
                <c:pt idx="263">
                  <c:v>9.9999999999999995E-7</c:v>
                </c:pt>
                <c:pt idx="264">
                  <c:v>9.9999999999999995E-7</c:v>
                </c:pt>
                <c:pt idx="265">
                  <c:v>9.9999999999999995E-7</c:v>
                </c:pt>
                <c:pt idx="266">
                  <c:v>9.9999999999999995E-7</c:v>
                </c:pt>
                <c:pt idx="267">
                  <c:v>9.9999999999999995E-7</c:v>
                </c:pt>
                <c:pt idx="268">
                  <c:v>9.9999999999999995E-7</c:v>
                </c:pt>
                <c:pt idx="269">
                  <c:v>9.9999999999999995E-7</c:v>
                </c:pt>
                <c:pt idx="270">
                  <c:v>9.9999999999999995E-7</c:v>
                </c:pt>
                <c:pt idx="271">
                  <c:v>9.9999999999999995E-7</c:v>
                </c:pt>
                <c:pt idx="272">
                  <c:v>9.9999999999999995E-7</c:v>
                </c:pt>
                <c:pt idx="273">
                  <c:v>9.9999999999999995E-7</c:v>
                </c:pt>
                <c:pt idx="274">
                  <c:v>9.9999999999999995E-7</c:v>
                </c:pt>
                <c:pt idx="275">
                  <c:v>9.9999999999999995E-7</c:v>
                </c:pt>
                <c:pt idx="276">
                  <c:v>9.9999999999999995E-7</c:v>
                </c:pt>
                <c:pt idx="277">
                  <c:v>9.9999999999999995E-7</c:v>
                </c:pt>
                <c:pt idx="278">
                  <c:v>9.9999999999999995E-7</c:v>
                </c:pt>
                <c:pt idx="279">
                  <c:v>9.9999999999999995E-7</c:v>
                </c:pt>
                <c:pt idx="280">
                  <c:v>9.9999999999999995E-7</c:v>
                </c:pt>
                <c:pt idx="281">
                  <c:v>9.9999999999999995E-7</c:v>
                </c:pt>
                <c:pt idx="282">
                  <c:v>9.9999999999999995E-7</c:v>
                </c:pt>
                <c:pt idx="283">
                  <c:v>9.9999999999999995E-7</c:v>
                </c:pt>
                <c:pt idx="284">
                  <c:v>9.9999999999999995E-7</c:v>
                </c:pt>
                <c:pt idx="285">
                  <c:v>9.9999999999999995E-7</c:v>
                </c:pt>
                <c:pt idx="286">
                  <c:v>9.9999999999999995E-7</c:v>
                </c:pt>
                <c:pt idx="287">
                  <c:v>9.9999999999999995E-7</c:v>
                </c:pt>
                <c:pt idx="288">
                  <c:v>9.9999999999999995E-7</c:v>
                </c:pt>
                <c:pt idx="289">
                  <c:v>9.9999999999999995E-7</c:v>
                </c:pt>
                <c:pt idx="290">
                  <c:v>9.9999999999999995E-7</c:v>
                </c:pt>
                <c:pt idx="291">
                  <c:v>9.9999999999999995E-7</c:v>
                </c:pt>
                <c:pt idx="292">
                  <c:v>9.9999999999999995E-7</c:v>
                </c:pt>
                <c:pt idx="293">
                  <c:v>9.9999999999999995E-7</c:v>
                </c:pt>
                <c:pt idx="294">
                  <c:v>9.9999999999999995E-7</c:v>
                </c:pt>
                <c:pt idx="295">
                  <c:v>9.9999999999999995E-7</c:v>
                </c:pt>
                <c:pt idx="296">
                  <c:v>9.9999999999999995E-7</c:v>
                </c:pt>
                <c:pt idx="297">
                  <c:v>9.9999999999999995E-7</c:v>
                </c:pt>
                <c:pt idx="298">
                  <c:v>9.9999999999999995E-7</c:v>
                </c:pt>
                <c:pt idx="299">
                  <c:v>9.9999999999999995E-7</c:v>
                </c:pt>
                <c:pt idx="300">
                  <c:v>9.9999999999999995E-7</c:v>
                </c:pt>
                <c:pt idx="301">
                  <c:v>9.9999999999999995E-7</c:v>
                </c:pt>
                <c:pt idx="302">
                  <c:v>9.9999999999999995E-7</c:v>
                </c:pt>
                <c:pt idx="303">
                  <c:v>9.9999999999999995E-7</c:v>
                </c:pt>
                <c:pt idx="304">
                  <c:v>9.9999999999999995E-7</c:v>
                </c:pt>
                <c:pt idx="305">
                  <c:v>9.9999999999999995E-7</c:v>
                </c:pt>
                <c:pt idx="306">
                  <c:v>9.9999999999999995E-7</c:v>
                </c:pt>
                <c:pt idx="307">
                  <c:v>9.9999999999999995E-7</c:v>
                </c:pt>
                <c:pt idx="308">
                  <c:v>9.9999999999999995E-7</c:v>
                </c:pt>
                <c:pt idx="309">
                  <c:v>9.9999999999999995E-7</c:v>
                </c:pt>
                <c:pt idx="310">
                  <c:v>9.9999999999999995E-7</c:v>
                </c:pt>
                <c:pt idx="311">
                  <c:v>9.9999999999999995E-7</c:v>
                </c:pt>
                <c:pt idx="312">
                  <c:v>9.9999999999999995E-7</c:v>
                </c:pt>
                <c:pt idx="313">
                  <c:v>9.9999999999999995E-7</c:v>
                </c:pt>
                <c:pt idx="314">
                  <c:v>9.9999999999999995E-7</c:v>
                </c:pt>
                <c:pt idx="315">
                  <c:v>9.9999999999999995E-7</c:v>
                </c:pt>
                <c:pt idx="316">
                  <c:v>9.9999999999999995E-7</c:v>
                </c:pt>
                <c:pt idx="317">
                  <c:v>9.9999999999999995E-7</c:v>
                </c:pt>
                <c:pt idx="318">
                  <c:v>9.9999999999999995E-7</c:v>
                </c:pt>
                <c:pt idx="319">
                  <c:v>9.9999999999999995E-7</c:v>
                </c:pt>
                <c:pt idx="320">
                  <c:v>9.9999999999999995E-7</c:v>
                </c:pt>
                <c:pt idx="321">
                  <c:v>9.9999999999999995E-7</c:v>
                </c:pt>
                <c:pt idx="322">
                  <c:v>9.9999999999999995E-7</c:v>
                </c:pt>
                <c:pt idx="323">
                  <c:v>9.9999999999999995E-7</c:v>
                </c:pt>
                <c:pt idx="324">
                  <c:v>9.9999999999999995E-7</c:v>
                </c:pt>
                <c:pt idx="325">
                  <c:v>9.9999999999999995E-7</c:v>
                </c:pt>
                <c:pt idx="326">
                  <c:v>9.9999999999999995E-7</c:v>
                </c:pt>
                <c:pt idx="327">
                  <c:v>9.9999999999999995E-7</c:v>
                </c:pt>
                <c:pt idx="328">
                  <c:v>9.9999999999999995E-7</c:v>
                </c:pt>
                <c:pt idx="329">
                  <c:v>9.9999999999999995E-7</c:v>
                </c:pt>
                <c:pt idx="330">
                  <c:v>9.9999999999999995E-7</c:v>
                </c:pt>
                <c:pt idx="331">
                  <c:v>9.9999999999999995E-7</c:v>
                </c:pt>
                <c:pt idx="332">
                  <c:v>9.9999999999999995E-7</c:v>
                </c:pt>
                <c:pt idx="333">
                  <c:v>9.9999999999999995E-7</c:v>
                </c:pt>
                <c:pt idx="334">
                  <c:v>9.9999999999999995E-7</c:v>
                </c:pt>
                <c:pt idx="335">
                  <c:v>9.9999999999999995E-7</c:v>
                </c:pt>
                <c:pt idx="336">
                  <c:v>9.9999999999999995E-7</c:v>
                </c:pt>
                <c:pt idx="337">
                  <c:v>9.9999999999999995E-7</c:v>
                </c:pt>
                <c:pt idx="338">
                  <c:v>9.9999999999999995E-7</c:v>
                </c:pt>
                <c:pt idx="339">
                  <c:v>9.9999999999999995E-7</c:v>
                </c:pt>
                <c:pt idx="340">
                  <c:v>9.9999999999999995E-7</c:v>
                </c:pt>
                <c:pt idx="341">
                  <c:v>9.9999999999999995E-7</c:v>
                </c:pt>
                <c:pt idx="342">
                  <c:v>9.9999999999999995E-7</c:v>
                </c:pt>
                <c:pt idx="343">
                  <c:v>9.9999999999999995E-7</c:v>
                </c:pt>
                <c:pt idx="344">
                  <c:v>9.9999999999999995E-7</c:v>
                </c:pt>
                <c:pt idx="345">
                  <c:v>9.9999999999999995E-7</c:v>
                </c:pt>
                <c:pt idx="346">
                  <c:v>9.9999999999999995E-7</c:v>
                </c:pt>
                <c:pt idx="347">
                  <c:v>9.9999999999999995E-7</c:v>
                </c:pt>
                <c:pt idx="348">
                  <c:v>9.9999999999999995E-7</c:v>
                </c:pt>
                <c:pt idx="349">
                  <c:v>9.9999999999999995E-7</c:v>
                </c:pt>
                <c:pt idx="350">
                  <c:v>9.9999999999999995E-7</c:v>
                </c:pt>
                <c:pt idx="351">
                  <c:v>9.9999999999999995E-7</c:v>
                </c:pt>
                <c:pt idx="352">
                  <c:v>9.9999999999999995E-7</c:v>
                </c:pt>
                <c:pt idx="353">
                  <c:v>9.9999999999999995E-7</c:v>
                </c:pt>
                <c:pt idx="354">
                  <c:v>9.9999999999999995E-7</c:v>
                </c:pt>
                <c:pt idx="355">
                  <c:v>9.9999999999999995E-7</c:v>
                </c:pt>
                <c:pt idx="356">
                  <c:v>9.9999999999999995E-7</c:v>
                </c:pt>
                <c:pt idx="357">
                  <c:v>9.9999999999999995E-7</c:v>
                </c:pt>
                <c:pt idx="358">
                  <c:v>9.9999999999999995E-7</c:v>
                </c:pt>
                <c:pt idx="359">
                  <c:v>9.9999999999999995E-7</c:v>
                </c:pt>
                <c:pt idx="360">
                  <c:v>9.9999999999999995E-7</c:v>
                </c:pt>
                <c:pt idx="361">
                  <c:v>9.9999999999999995E-7</c:v>
                </c:pt>
                <c:pt idx="362">
                  <c:v>9.9999999999999995E-7</c:v>
                </c:pt>
                <c:pt idx="363">
                  <c:v>9.9999999999999995E-7</c:v>
                </c:pt>
                <c:pt idx="364">
                  <c:v>9.9999999999999995E-7</c:v>
                </c:pt>
              </c:numCache>
            </c:numRef>
          </c:val>
          <c:extLst>
            <c:ext xmlns:c16="http://schemas.microsoft.com/office/drawing/2014/chart" uri="{C3380CC4-5D6E-409C-BE32-E72D297353CC}">
              <c16:uniqueId val="{00000000-D9E5-440F-8612-21D3BC9A48E0}"/>
            </c:ext>
          </c:extLst>
        </c:ser>
        <c:ser>
          <c:idx val="1"/>
          <c:order val="1"/>
          <c:tx>
            <c:strRef>
              <c:f>'JSM Jahresdauerlinie'!$V$17</c:f>
              <c:strCache>
                <c:ptCount val="1"/>
              </c:strCache>
            </c:strRef>
          </c:tx>
          <c:spPr>
            <a:solidFill>
              <a:srgbClr val="993366"/>
            </a:solidFill>
            <a:ln w="12700">
              <a:solidFill>
                <a:srgbClr val="000000"/>
              </a:solidFill>
              <a:prstDash val="solid"/>
            </a:ln>
          </c:spPr>
          <c:invertIfNegative val="0"/>
          <c:dPt>
            <c:idx val="70"/>
            <c:invertIfNegative val="0"/>
            <c:bubble3D val="0"/>
            <c:spPr>
              <a:solidFill>
                <a:srgbClr val="993366"/>
              </a:solidFill>
              <a:ln w="38100">
                <a:solidFill>
                  <a:srgbClr val="FF6600"/>
                </a:solidFill>
                <a:prstDash val="lgDash"/>
              </a:ln>
            </c:spPr>
            <c:extLst>
              <c:ext xmlns:c16="http://schemas.microsoft.com/office/drawing/2014/chart" uri="{C3380CC4-5D6E-409C-BE32-E72D297353CC}">
                <c16:uniqueId val="{00000002-D9E5-440F-8612-21D3BC9A48E0}"/>
              </c:ext>
            </c:extLst>
          </c:dPt>
          <c:dPt>
            <c:idx val="78"/>
            <c:invertIfNegative val="0"/>
            <c:bubble3D val="0"/>
            <c:spPr>
              <a:solidFill>
                <a:srgbClr val="808000"/>
              </a:solidFill>
              <a:ln w="38100">
                <a:solidFill>
                  <a:srgbClr val="000000"/>
                </a:solidFill>
                <a:prstDash val="lgDash"/>
              </a:ln>
            </c:spPr>
            <c:extLst>
              <c:ext xmlns:c16="http://schemas.microsoft.com/office/drawing/2014/chart" uri="{C3380CC4-5D6E-409C-BE32-E72D297353CC}">
                <c16:uniqueId val="{00000004-D9E5-440F-8612-21D3BC9A48E0}"/>
              </c:ext>
            </c:extLst>
          </c:dPt>
          <c:dPt>
            <c:idx val="85"/>
            <c:invertIfNegative val="0"/>
            <c:bubble3D val="0"/>
            <c:spPr>
              <a:solidFill>
                <a:srgbClr val="FFFF99"/>
              </a:solidFill>
              <a:ln w="38100">
                <a:solidFill>
                  <a:srgbClr val="FF0000"/>
                </a:solidFill>
                <a:prstDash val="lgDash"/>
              </a:ln>
            </c:spPr>
            <c:extLst>
              <c:ext xmlns:c16="http://schemas.microsoft.com/office/drawing/2014/chart" uri="{C3380CC4-5D6E-409C-BE32-E72D297353CC}">
                <c16:uniqueId val="{00000006-D9E5-440F-8612-21D3BC9A48E0}"/>
              </c:ext>
            </c:extLst>
          </c:dPt>
          <c:dPt>
            <c:idx val="86"/>
            <c:invertIfNegative val="0"/>
            <c:bubble3D val="0"/>
            <c:spPr>
              <a:solidFill>
                <a:srgbClr val="FF0000"/>
              </a:solidFill>
              <a:ln w="38100">
                <a:solidFill>
                  <a:srgbClr val="FF0000"/>
                </a:solidFill>
                <a:prstDash val="solid"/>
              </a:ln>
            </c:spPr>
            <c:extLst>
              <c:ext xmlns:c16="http://schemas.microsoft.com/office/drawing/2014/chart" uri="{C3380CC4-5D6E-409C-BE32-E72D297353CC}">
                <c16:uniqueId val="{00000008-D9E5-440F-8612-21D3BC9A48E0}"/>
              </c:ext>
            </c:extLst>
          </c:dPt>
          <c:dPt>
            <c:idx val="95"/>
            <c:invertIfNegative val="0"/>
            <c:bubble3D val="0"/>
            <c:spPr>
              <a:solidFill>
                <a:srgbClr val="993366"/>
              </a:solidFill>
              <a:ln w="38100">
                <a:solidFill>
                  <a:srgbClr val="FF0000"/>
                </a:solidFill>
                <a:prstDash val="solid"/>
              </a:ln>
            </c:spPr>
            <c:extLst>
              <c:ext xmlns:c16="http://schemas.microsoft.com/office/drawing/2014/chart" uri="{C3380CC4-5D6E-409C-BE32-E72D297353CC}">
                <c16:uniqueId val="{0000000A-D9E5-440F-8612-21D3BC9A48E0}"/>
              </c:ext>
            </c:extLst>
          </c:dPt>
          <c:dPt>
            <c:idx val="96"/>
            <c:invertIfNegative val="0"/>
            <c:bubble3D val="0"/>
            <c:spPr>
              <a:solidFill>
                <a:srgbClr val="993366"/>
              </a:solidFill>
              <a:ln w="38100">
                <a:solidFill>
                  <a:srgbClr val="FF0000"/>
                </a:solidFill>
                <a:prstDash val="solid"/>
              </a:ln>
            </c:spPr>
            <c:extLst>
              <c:ext xmlns:c16="http://schemas.microsoft.com/office/drawing/2014/chart" uri="{C3380CC4-5D6E-409C-BE32-E72D297353CC}">
                <c16:uniqueId val="{0000000C-D9E5-440F-8612-21D3BC9A48E0}"/>
              </c:ext>
            </c:extLst>
          </c:dPt>
          <c:dPt>
            <c:idx val="99"/>
            <c:invertIfNegative val="0"/>
            <c:bubble3D val="0"/>
            <c:spPr>
              <a:solidFill>
                <a:srgbClr val="FF0000"/>
              </a:solidFill>
              <a:ln w="38100">
                <a:solidFill>
                  <a:srgbClr val="FF0000"/>
                </a:solidFill>
                <a:prstDash val="solid"/>
              </a:ln>
            </c:spPr>
            <c:extLst>
              <c:ext xmlns:c16="http://schemas.microsoft.com/office/drawing/2014/chart" uri="{C3380CC4-5D6E-409C-BE32-E72D297353CC}">
                <c16:uniqueId val="{0000000E-D9E5-440F-8612-21D3BC9A48E0}"/>
              </c:ext>
            </c:extLst>
          </c:dPt>
          <c:dPt>
            <c:idx val="101"/>
            <c:invertIfNegative val="0"/>
            <c:bubble3D val="0"/>
            <c:spPr>
              <a:solidFill>
                <a:srgbClr val="993366"/>
              </a:solidFill>
              <a:ln w="38100">
                <a:solidFill>
                  <a:srgbClr val="FF0000"/>
                </a:solidFill>
                <a:prstDash val="solid"/>
              </a:ln>
            </c:spPr>
            <c:extLst>
              <c:ext xmlns:c16="http://schemas.microsoft.com/office/drawing/2014/chart" uri="{C3380CC4-5D6E-409C-BE32-E72D297353CC}">
                <c16:uniqueId val="{00000010-D9E5-440F-8612-21D3BC9A48E0}"/>
              </c:ext>
            </c:extLst>
          </c:dPt>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Jahresdauerlinie'!$V$18:$V$384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11-D9E5-440F-8612-21D3BC9A48E0}"/>
            </c:ext>
          </c:extLst>
        </c:ser>
        <c:ser>
          <c:idx val="2"/>
          <c:order val="2"/>
          <c:tx>
            <c:strRef>
              <c:f>'JSM Jahresdauerlinie'!$W$17</c:f>
              <c:strCache>
                <c:ptCount val="1"/>
              </c:strCache>
            </c:strRef>
          </c:tx>
          <c:spPr>
            <a:solidFill>
              <a:srgbClr val="FFFFCC"/>
            </a:solidFill>
            <a:ln w="12700">
              <a:solidFill>
                <a:srgbClr val="FFFF99"/>
              </a:solidFill>
              <a:prstDash val="sysDash"/>
            </a:ln>
          </c:spPr>
          <c:invertIfNegative val="0"/>
          <c:dPt>
            <c:idx val="41"/>
            <c:invertIfNegative val="0"/>
            <c:bubble3D val="0"/>
            <c:spPr>
              <a:solidFill>
                <a:srgbClr val="FFFFCC"/>
              </a:solidFill>
              <a:ln w="12700">
                <a:solidFill>
                  <a:srgbClr val="FFFF99"/>
                </a:solidFill>
                <a:prstDash val="lgDashDotDot"/>
              </a:ln>
            </c:spPr>
            <c:extLst>
              <c:ext xmlns:c16="http://schemas.microsoft.com/office/drawing/2014/chart" uri="{C3380CC4-5D6E-409C-BE32-E72D297353CC}">
                <c16:uniqueId val="{00000013-D9E5-440F-8612-21D3BC9A48E0}"/>
              </c:ext>
            </c:extLst>
          </c:dPt>
          <c:dPt>
            <c:idx val="171"/>
            <c:invertIfNegative val="0"/>
            <c:bubble3D val="0"/>
            <c:spPr>
              <a:solidFill>
                <a:srgbClr val="FFFFCC"/>
              </a:solidFill>
              <a:ln w="38100">
                <a:solidFill>
                  <a:srgbClr val="FFFF99"/>
                </a:solidFill>
                <a:prstDash val="sysDash"/>
              </a:ln>
            </c:spPr>
            <c:extLst>
              <c:ext xmlns:c16="http://schemas.microsoft.com/office/drawing/2014/chart" uri="{C3380CC4-5D6E-409C-BE32-E72D297353CC}">
                <c16:uniqueId val="{00000015-D9E5-440F-8612-21D3BC9A48E0}"/>
              </c:ext>
            </c:extLst>
          </c:dPt>
          <c:dPt>
            <c:idx val="196"/>
            <c:invertIfNegative val="0"/>
            <c:bubble3D val="0"/>
            <c:spPr>
              <a:solidFill>
                <a:srgbClr val="FFFFCC"/>
              </a:solidFill>
              <a:ln w="38100">
                <a:solidFill>
                  <a:srgbClr val="808000"/>
                </a:solidFill>
                <a:prstDash val="sysDash"/>
              </a:ln>
            </c:spPr>
            <c:extLst>
              <c:ext xmlns:c16="http://schemas.microsoft.com/office/drawing/2014/chart" uri="{C3380CC4-5D6E-409C-BE32-E72D297353CC}">
                <c16:uniqueId val="{00000017-D9E5-440F-8612-21D3BC9A48E0}"/>
              </c:ext>
            </c:extLst>
          </c:dPt>
          <c:dPt>
            <c:idx val="200"/>
            <c:invertIfNegative val="0"/>
            <c:bubble3D val="0"/>
            <c:spPr>
              <a:solidFill>
                <a:srgbClr val="FFFFCC"/>
              </a:solidFill>
              <a:ln w="38100">
                <a:solidFill>
                  <a:srgbClr val="FFFF99"/>
                </a:solidFill>
                <a:prstDash val="solid"/>
              </a:ln>
            </c:spPr>
            <c:extLst>
              <c:ext xmlns:c16="http://schemas.microsoft.com/office/drawing/2014/chart" uri="{C3380CC4-5D6E-409C-BE32-E72D297353CC}">
                <c16:uniqueId val="{00000019-D9E5-440F-8612-21D3BC9A48E0}"/>
              </c:ext>
            </c:extLst>
          </c:dPt>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Jahresdauerlinie'!$W$18:$W$384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1A-D9E5-440F-8612-21D3BC9A48E0}"/>
            </c:ext>
          </c:extLst>
        </c:ser>
        <c:ser>
          <c:idx val="3"/>
          <c:order val="3"/>
          <c:tx>
            <c:strRef>
              <c:f>'JSM Jahresdauerlinie'!$X$17</c:f>
              <c:strCache>
                <c:ptCount val="1"/>
              </c:strCache>
            </c:strRef>
          </c:tx>
          <c:spPr>
            <a:solidFill>
              <a:srgbClr val="00FF00"/>
            </a:solidFill>
            <a:ln w="12700">
              <a:solidFill>
                <a:srgbClr val="3366FF"/>
              </a:solidFill>
              <a:prstDash val="solid"/>
            </a:ln>
          </c:spPr>
          <c:invertIfNegative val="0"/>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Jahresdauerlinie'!$X$19:$X$384</c:f>
              <c:numCache>
                <c:formatCode>General</c:formatCode>
                <c:ptCount val="366"/>
                <c:pt idx="0">
                  <c:v>0</c:v>
                </c:pt>
                <c:pt idx="5">
                  <c:v>0</c:v>
                </c:pt>
                <c:pt idx="10">
                  <c:v>0</c:v>
                </c:pt>
                <c:pt idx="15">
                  <c:v>0</c:v>
                </c:pt>
                <c:pt idx="20">
                  <c:v>0</c:v>
                </c:pt>
                <c:pt idx="25">
                  <c:v>0</c:v>
                </c:pt>
                <c:pt idx="30">
                  <c:v>0</c:v>
                </c:pt>
                <c:pt idx="35">
                  <c:v>0</c:v>
                </c:pt>
                <c:pt idx="40">
                  <c:v>0</c:v>
                </c:pt>
                <c:pt idx="45">
                  <c:v>0</c:v>
                </c:pt>
                <c:pt idx="50">
                  <c:v>0</c:v>
                </c:pt>
                <c:pt idx="55">
                  <c:v>0</c:v>
                </c:pt>
                <c:pt idx="60">
                  <c:v>0</c:v>
                </c:pt>
                <c:pt idx="65">
                  <c:v>0</c:v>
                </c:pt>
                <c:pt idx="70">
                  <c:v>0</c:v>
                </c:pt>
                <c:pt idx="75">
                  <c:v>0</c:v>
                </c:pt>
                <c:pt idx="80">
                  <c:v>0</c:v>
                </c:pt>
                <c:pt idx="85">
                  <c:v>0</c:v>
                </c:pt>
                <c:pt idx="90">
                  <c:v>0</c:v>
                </c:pt>
                <c:pt idx="95">
                  <c:v>0</c:v>
                </c:pt>
                <c:pt idx="100">
                  <c:v>0</c:v>
                </c:pt>
                <c:pt idx="105">
                  <c:v>0</c:v>
                </c:pt>
                <c:pt idx="110">
                  <c:v>0</c:v>
                </c:pt>
                <c:pt idx="115">
                  <c:v>0</c:v>
                </c:pt>
                <c:pt idx="120">
                  <c:v>0</c:v>
                </c:pt>
                <c:pt idx="125">
                  <c:v>0</c:v>
                </c:pt>
                <c:pt idx="130">
                  <c:v>0</c:v>
                </c:pt>
                <c:pt idx="135">
                  <c:v>0</c:v>
                </c:pt>
                <c:pt idx="140">
                  <c:v>0</c:v>
                </c:pt>
                <c:pt idx="145">
                  <c:v>0</c:v>
                </c:pt>
                <c:pt idx="151">
                  <c:v>0</c:v>
                </c:pt>
                <c:pt idx="156">
                  <c:v>0</c:v>
                </c:pt>
                <c:pt idx="161">
                  <c:v>0</c:v>
                </c:pt>
                <c:pt idx="166">
                  <c:v>0</c:v>
                </c:pt>
                <c:pt idx="171">
                  <c:v>0</c:v>
                </c:pt>
                <c:pt idx="176">
                  <c:v>0</c:v>
                </c:pt>
                <c:pt idx="181">
                  <c:v>0</c:v>
                </c:pt>
                <c:pt idx="186">
                  <c:v>0</c:v>
                </c:pt>
                <c:pt idx="191">
                  <c:v>0</c:v>
                </c:pt>
                <c:pt idx="196">
                  <c:v>0</c:v>
                </c:pt>
                <c:pt idx="201">
                  <c:v>0</c:v>
                </c:pt>
                <c:pt idx="206">
                  <c:v>0</c:v>
                </c:pt>
                <c:pt idx="211">
                  <c:v>0</c:v>
                </c:pt>
                <c:pt idx="216">
                  <c:v>0</c:v>
                </c:pt>
                <c:pt idx="221">
                  <c:v>0</c:v>
                </c:pt>
                <c:pt idx="226">
                  <c:v>0</c:v>
                </c:pt>
                <c:pt idx="231">
                  <c:v>0</c:v>
                </c:pt>
                <c:pt idx="236">
                  <c:v>0</c:v>
                </c:pt>
                <c:pt idx="241">
                  <c:v>0</c:v>
                </c:pt>
                <c:pt idx="246">
                  <c:v>0</c:v>
                </c:pt>
                <c:pt idx="251">
                  <c:v>0</c:v>
                </c:pt>
                <c:pt idx="256">
                  <c:v>0</c:v>
                </c:pt>
                <c:pt idx="261">
                  <c:v>0</c:v>
                </c:pt>
                <c:pt idx="266">
                  <c:v>0</c:v>
                </c:pt>
                <c:pt idx="271">
                  <c:v>0</c:v>
                </c:pt>
                <c:pt idx="276">
                  <c:v>0</c:v>
                </c:pt>
                <c:pt idx="281">
                  <c:v>0</c:v>
                </c:pt>
                <c:pt idx="286">
                  <c:v>0</c:v>
                </c:pt>
                <c:pt idx="291">
                  <c:v>0</c:v>
                </c:pt>
                <c:pt idx="296">
                  <c:v>0</c:v>
                </c:pt>
                <c:pt idx="301">
                  <c:v>0</c:v>
                </c:pt>
                <c:pt idx="306">
                  <c:v>0</c:v>
                </c:pt>
                <c:pt idx="311">
                  <c:v>0</c:v>
                </c:pt>
                <c:pt idx="316">
                  <c:v>0</c:v>
                </c:pt>
                <c:pt idx="321">
                  <c:v>0</c:v>
                </c:pt>
                <c:pt idx="326">
                  <c:v>0</c:v>
                </c:pt>
                <c:pt idx="331">
                  <c:v>0</c:v>
                </c:pt>
                <c:pt idx="336">
                  <c:v>0</c:v>
                </c:pt>
                <c:pt idx="341">
                  <c:v>0</c:v>
                </c:pt>
                <c:pt idx="346">
                  <c:v>0</c:v>
                </c:pt>
                <c:pt idx="351">
                  <c:v>0</c:v>
                </c:pt>
                <c:pt idx="356">
                  <c:v>0</c:v>
                </c:pt>
                <c:pt idx="361">
                  <c:v>0</c:v>
                </c:pt>
              </c:numCache>
            </c:numRef>
          </c:val>
          <c:extLst>
            <c:ext xmlns:c16="http://schemas.microsoft.com/office/drawing/2014/chart" uri="{C3380CC4-5D6E-409C-BE32-E72D297353CC}">
              <c16:uniqueId val="{0000001B-D9E5-440F-8612-21D3BC9A48E0}"/>
            </c:ext>
          </c:extLst>
        </c:ser>
        <c:ser>
          <c:idx val="4"/>
          <c:order val="4"/>
          <c:tx>
            <c:strRef>
              <c:f>'JSM Jahresdauerlinie'!$Y$17</c:f>
              <c:strCache>
                <c:ptCount val="1"/>
              </c:strCache>
            </c:strRef>
          </c:tx>
          <c:spPr>
            <a:solidFill>
              <a:srgbClr val="660066"/>
            </a:solidFill>
            <a:ln w="12700">
              <a:solidFill>
                <a:srgbClr val="000000"/>
              </a:solidFill>
              <a:prstDash val="solid"/>
            </a:ln>
          </c:spPr>
          <c:invertIfNegative val="0"/>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Jahresdauerlinie'!$Y$18:$Y$384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20">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1C-D9E5-440F-8612-21D3BC9A48E0}"/>
            </c:ext>
          </c:extLst>
        </c:ser>
        <c:dLbls>
          <c:showLegendKey val="0"/>
          <c:showVal val="0"/>
          <c:showCatName val="0"/>
          <c:showSerName val="0"/>
          <c:showPercent val="0"/>
          <c:showBubbleSize val="0"/>
        </c:dLbls>
        <c:gapWidth val="150"/>
        <c:axId val="392304536"/>
        <c:axId val="392302968"/>
      </c:barChart>
      <c:catAx>
        <c:axId val="3923045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DE"/>
                  <a:t>Tage</a:t>
                </a:r>
              </a:p>
            </c:rich>
          </c:tx>
          <c:layout>
            <c:manualLayout>
              <c:xMode val="edge"/>
              <c:yMode val="edge"/>
              <c:x val="0.11956529943561042"/>
              <c:y val="0.915816005573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de-DE"/>
          </a:p>
        </c:txPr>
        <c:crossAx val="392302968"/>
        <c:crosses val="autoZero"/>
        <c:auto val="1"/>
        <c:lblAlgn val="ctr"/>
        <c:lblOffset val="100"/>
        <c:tickLblSkip val="21"/>
        <c:tickMarkSkip val="1"/>
        <c:noMultiLvlLbl val="0"/>
      </c:catAx>
      <c:valAx>
        <c:axId val="392302968"/>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de-DE"/>
                  <a:t>cbm/d</a:t>
                </a:r>
              </a:p>
            </c:rich>
          </c:tx>
          <c:layout>
            <c:manualLayout>
              <c:xMode val="edge"/>
              <c:yMode val="edge"/>
              <c:x val="2.6397509134887528E-2"/>
              <c:y val="0.451530542596383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92304536"/>
        <c:crosses val="autoZero"/>
        <c:crossBetween val="between"/>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9" footer="0.49212598450000139"/>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7037528454489"/>
          <c:y val="6.2579366220914465E-2"/>
          <c:w val="0.83225534308211468"/>
          <c:h val="0.79808719702137787"/>
        </c:manualLayout>
      </c:layout>
      <c:barChart>
        <c:barDir val="col"/>
        <c:grouping val="clustered"/>
        <c:varyColors val="0"/>
        <c:ser>
          <c:idx val="0"/>
          <c:order val="0"/>
          <c:tx>
            <c:strRef>
              <c:f>'JSM FW Dreieck'!$U$17</c:f>
              <c:strCache>
                <c:ptCount val="1"/>
                <c:pt idx="0">
                  <c:v>Abfluss</c:v>
                </c:pt>
              </c:strCache>
            </c:strRef>
          </c:tx>
          <c:spPr>
            <a:solidFill>
              <a:sysClr val="window" lastClr="FFFFFF">
                <a:lumMod val="85000"/>
                <a:alpha val="48000"/>
              </a:sysClr>
            </a:solidFill>
          </c:spPr>
          <c:invertIfNegative val="0"/>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Dreieck'!$U$18:$U$382</c:f>
              <c:numCache>
                <c:formatCode>General</c:formatCode>
                <c:ptCount val="365"/>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9.9999999999999995E-7</c:v>
                </c:pt>
                <c:pt idx="16">
                  <c:v>9.9999999999999995E-7</c:v>
                </c:pt>
                <c:pt idx="17">
                  <c:v>9.9999999999999995E-7</c:v>
                </c:pt>
                <c:pt idx="18">
                  <c:v>9.9999999999999995E-7</c:v>
                </c:pt>
                <c:pt idx="19">
                  <c:v>9.9999999999999995E-7</c:v>
                </c:pt>
                <c:pt idx="20">
                  <c:v>9.9999999999999995E-7</c:v>
                </c:pt>
                <c:pt idx="21">
                  <c:v>9.9999999999999995E-7</c:v>
                </c:pt>
                <c:pt idx="22">
                  <c:v>9.9999999999999995E-7</c:v>
                </c:pt>
                <c:pt idx="23">
                  <c:v>9.9999999999999995E-7</c:v>
                </c:pt>
                <c:pt idx="24">
                  <c:v>9.9999999999999995E-7</c:v>
                </c:pt>
                <c:pt idx="25">
                  <c:v>9.9999999999999995E-7</c:v>
                </c:pt>
                <c:pt idx="26">
                  <c:v>9.9999999999999995E-7</c:v>
                </c:pt>
                <c:pt idx="27">
                  <c:v>9.9999999999999995E-7</c:v>
                </c:pt>
                <c:pt idx="28">
                  <c:v>9.9999999999999995E-7</c:v>
                </c:pt>
                <c:pt idx="29">
                  <c:v>9.9999999999999995E-7</c:v>
                </c:pt>
                <c:pt idx="30">
                  <c:v>9.9999999999999995E-7</c:v>
                </c:pt>
                <c:pt idx="31">
                  <c:v>9.9999999999999995E-7</c:v>
                </c:pt>
                <c:pt idx="32">
                  <c:v>9.9999999999999995E-7</c:v>
                </c:pt>
                <c:pt idx="33">
                  <c:v>9.9999999999999995E-7</c:v>
                </c:pt>
                <c:pt idx="34">
                  <c:v>9.9999999999999995E-7</c:v>
                </c:pt>
                <c:pt idx="35">
                  <c:v>9.9999999999999995E-7</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9.9999999999999995E-7</c:v>
                </c:pt>
                <c:pt idx="45">
                  <c:v>9.9999999999999995E-7</c:v>
                </c:pt>
                <c:pt idx="46">
                  <c:v>9.9999999999999995E-7</c:v>
                </c:pt>
                <c:pt idx="47">
                  <c:v>9.9999999999999995E-7</c:v>
                </c:pt>
                <c:pt idx="48">
                  <c:v>9.9999999999999995E-7</c:v>
                </c:pt>
                <c:pt idx="49">
                  <c:v>9.9999999999999995E-7</c:v>
                </c:pt>
                <c:pt idx="50">
                  <c:v>9.9999999999999995E-7</c:v>
                </c:pt>
                <c:pt idx="51">
                  <c:v>9.9999999999999995E-7</c:v>
                </c:pt>
                <c:pt idx="52">
                  <c:v>9.9999999999999995E-7</c:v>
                </c:pt>
                <c:pt idx="53">
                  <c:v>9.9999999999999995E-7</c:v>
                </c:pt>
                <c:pt idx="54">
                  <c:v>9.9999999999999995E-7</c:v>
                </c:pt>
                <c:pt idx="55">
                  <c:v>9.9999999999999995E-7</c:v>
                </c:pt>
                <c:pt idx="56">
                  <c:v>9.9999999999999995E-7</c:v>
                </c:pt>
                <c:pt idx="57">
                  <c:v>9.9999999999999995E-7</c:v>
                </c:pt>
                <c:pt idx="58">
                  <c:v>9.9999999999999995E-7</c:v>
                </c:pt>
                <c:pt idx="59">
                  <c:v>9.9999999999999995E-7</c:v>
                </c:pt>
                <c:pt idx="60">
                  <c:v>9.9999999999999995E-7</c:v>
                </c:pt>
                <c:pt idx="61">
                  <c:v>9.9999999999999995E-7</c:v>
                </c:pt>
                <c:pt idx="62">
                  <c:v>9.9999999999999995E-7</c:v>
                </c:pt>
                <c:pt idx="63">
                  <c:v>9.9999999999999995E-7</c:v>
                </c:pt>
                <c:pt idx="64">
                  <c:v>9.9999999999999995E-7</c:v>
                </c:pt>
                <c:pt idx="65">
                  <c:v>9.9999999999999995E-7</c:v>
                </c:pt>
                <c:pt idx="66">
                  <c:v>9.9999999999999995E-7</c:v>
                </c:pt>
                <c:pt idx="67">
                  <c:v>9.9999999999999995E-7</c:v>
                </c:pt>
                <c:pt idx="68">
                  <c:v>9.9999999999999995E-7</c:v>
                </c:pt>
                <c:pt idx="69">
                  <c:v>9.9999999999999995E-7</c:v>
                </c:pt>
                <c:pt idx="70">
                  <c:v>9.9999999999999995E-7</c:v>
                </c:pt>
                <c:pt idx="71">
                  <c:v>9.9999999999999995E-7</c:v>
                </c:pt>
                <c:pt idx="72">
                  <c:v>9.9999999999999995E-7</c:v>
                </c:pt>
                <c:pt idx="73">
                  <c:v>9.9999999999999995E-7</c:v>
                </c:pt>
                <c:pt idx="74">
                  <c:v>9.9999999999999995E-7</c:v>
                </c:pt>
                <c:pt idx="75">
                  <c:v>9.9999999999999995E-7</c:v>
                </c:pt>
                <c:pt idx="76">
                  <c:v>9.9999999999999995E-7</c:v>
                </c:pt>
                <c:pt idx="77">
                  <c:v>9.9999999999999995E-7</c:v>
                </c:pt>
                <c:pt idx="78">
                  <c:v>9.9999999999999995E-7</c:v>
                </c:pt>
                <c:pt idx="79">
                  <c:v>9.9999999999999995E-7</c:v>
                </c:pt>
                <c:pt idx="80">
                  <c:v>9.9999999999999995E-7</c:v>
                </c:pt>
                <c:pt idx="81">
                  <c:v>9.9999999999999995E-7</c:v>
                </c:pt>
                <c:pt idx="82">
                  <c:v>9.9999999999999995E-7</c:v>
                </c:pt>
                <c:pt idx="83">
                  <c:v>9.9999999999999995E-7</c:v>
                </c:pt>
                <c:pt idx="84">
                  <c:v>9.9999999999999995E-7</c:v>
                </c:pt>
                <c:pt idx="85">
                  <c:v>9.9999999999999995E-7</c:v>
                </c:pt>
                <c:pt idx="86">
                  <c:v>9.9999999999999995E-7</c:v>
                </c:pt>
                <c:pt idx="87">
                  <c:v>9.9999999999999995E-7</c:v>
                </c:pt>
                <c:pt idx="88">
                  <c:v>9.9999999999999995E-7</c:v>
                </c:pt>
                <c:pt idx="89">
                  <c:v>9.9999999999999995E-7</c:v>
                </c:pt>
                <c:pt idx="90">
                  <c:v>9.9999999999999995E-7</c:v>
                </c:pt>
                <c:pt idx="91">
                  <c:v>9.9999999999999995E-7</c:v>
                </c:pt>
                <c:pt idx="92">
                  <c:v>9.9999999999999995E-7</c:v>
                </c:pt>
                <c:pt idx="93">
                  <c:v>9.9999999999999995E-7</c:v>
                </c:pt>
                <c:pt idx="94">
                  <c:v>9.9999999999999995E-7</c:v>
                </c:pt>
                <c:pt idx="95">
                  <c:v>9.9999999999999995E-7</c:v>
                </c:pt>
                <c:pt idx="96">
                  <c:v>9.9999999999999995E-7</c:v>
                </c:pt>
                <c:pt idx="97">
                  <c:v>9.9999999999999995E-7</c:v>
                </c:pt>
                <c:pt idx="98">
                  <c:v>9.9999999999999995E-7</c:v>
                </c:pt>
                <c:pt idx="99">
                  <c:v>9.9999999999999995E-7</c:v>
                </c:pt>
                <c:pt idx="100">
                  <c:v>9.9999999999999995E-7</c:v>
                </c:pt>
                <c:pt idx="101">
                  <c:v>9.9999999999999995E-7</c:v>
                </c:pt>
                <c:pt idx="102">
                  <c:v>9.9999999999999995E-7</c:v>
                </c:pt>
                <c:pt idx="103">
                  <c:v>9.9999999999999995E-7</c:v>
                </c:pt>
                <c:pt idx="104">
                  <c:v>9.9999999999999995E-7</c:v>
                </c:pt>
                <c:pt idx="105">
                  <c:v>9.9999999999999995E-7</c:v>
                </c:pt>
                <c:pt idx="106">
                  <c:v>9.9999999999999995E-7</c:v>
                </c:pt>
                <c:pt idx="107">
                  <c:v>9.9999999999999995E-7</c:v>
                </c:pt>
                <c:pt idx="108">
                  <c:v>9.9999999999999995E-7</c:v>
                </c:pt>
                <c:pt idx="109">
                  <c:v>9.9999999999999995E-7</c:v>
                </c:pt>
                <c:pt idx="110">
                  <c:v>9.9999999999999995E-7</c:v>
                </c:pt>
                <c:pt idx="111">
                  <c:v>9.9999999999999995E-7</c:v>
                </c:pt>
                <c:pt idx="112">
                  <c:v>9.9999999999999995E-7</c:v>
                </c:pt>
                <c:pt idx="113">
                  <c:v>9.9999999999999995E-7</c:v>
                </c:pt>
                <c:pt idx="114">
                  <c:v>9.9999999999999995E-7</c:v>
                </c:pt>
                <c:pt idx="115">
                  <c:v>9.9999999999999995E-7</c:v>
                </c:pt>
                <c:pt idx="116">
                  <c:v>9.9999999999999995E-7</c:v>
                </c:pt>
                <c:pt idx="117">
                  <c:v>9.9999999999999995E-7</c:v>
                </c:pt>
                <c:pt idx="118">
                  <c:v>9.9999999999999995E-7</c:v>
                </c:pt>
                <c:pt idx="119">
                  <c:v>9.9999999999999995E-7</c:v>
                </c:pt>
                <c:pt idx="120">
                  <c:v>9.9999999999999995E-7</c:v>
                </c:pt>
                <c:pt idx="121">
                  <c:v>9.9999999999999995E-7</c:v>
                </c:pt>
                <c:pt idx="122">
                  <c:v>9.9999999999999995E-7</c:v>
                </c:pt>
                <c:pt idx="123">
                  <c:v>9.9999999999999995E-7</c:v>
                </c:pt>
                <c:pt idx="124">
                  <c:v>9.9999999999999995E-7</c:v>
                </c:pt>
                <c:pt idx="125">
                  <c:v>9.9999999999999995E-7</c:v>
                </c:pt>
                <c:pt idx="126">
                  <c:v>9.9999999999999995E-7</c:v>
                </c:pt>
                <c:pt idx="127">
                  <c:v>9.9999999999999995E-7</c:v>
                </c:pt>
                <c:pt idx="128">
                  <c:v>9.9999999999999995E-7</c:v>
                </c:pt>
                <c:pt idx="129">
                  <c:v>9.9999999999999995E-7</c:v>
                </c:pt>
                <c:pt idx="130">
                  <c:v>9.9999999999999995E-7</c:v>
                </c:pt>
                <c:pt idx="131">
                  <c:v>9.9999999999999995E-7</c:v>
                </c:pt>
                <c:pt idx="132">
                  <c:v>9.9999999999999995E-7</c:v>
                </c:pt>
                <c:pt idx="133">
                  <c:v>9.9999999999999995E-7</c:v>
                </c:pt>
                <c:pt idx="134">
                  <c:v>9.9999999999999995E-7</c:v>
                </c:pt>
                <c:pt idx="135">
                  <c:v>9.9999999999999995E-7</c:v>
                </c:pt>
                <c:pt idx="136">
                  <c:v>9.9999999999999995E-7</c:v>
                </c:pt>
                <c:pt idx="137">
                  <c:v>9.9999999999999995E-7</c:v>
                </c:pt>
                <c:pt idx="138">
                  <c:v>9.9999999999999995E-7</c:v>
                </c:pt>
                <c:pt idx="139">
                  <c:v>9.9999999999999995E-7</c:v>
                </c:pt>
                <c:pt idx="140">
                  <c:v>9.9999999999999995E-7</c:v>
                </c:pt>
                <c:pt idx="141">
                  <c:v>9.9999999999999995E-7</c:v>
                </c:pt>
                <c:pt idx="142">
                  <c:v>9.9999999999999995E-7</c:v>
                </c:pt>
                <c:pt idx="143">
                  <c:v>9.9999999999999995E-7</c:v>
                </c:pt>
                <c:pt idx="144">
                  <c:v>9.9999999999999995E-7</c:v>
                </c:pt>
                <c:pt idx="145">
                  <c:v>9.9999999999999995E-7</c:v>
                </c:pt>
                <c:pt idx="146">
                  <c:v>9.9999999999999995E-7</c:v>
                </c:pt>
                <c:pt idx="147">
                  <c:v>9.9999999999999995E-7</c:v>
                </c:pt>
                <c:pt idx="148">
                  <c:v>9.9999999999999995E-7</c:v>
                </c:pt>
                <c:pt idx="149">
                  <c:v>9.9999999999999995E-7</c:v>
                </c:pt>
                <c:pt idx="150">
                  <c:v>9.9999999999999995E-7</c:v>
                </c:pt>
                <c:pt idx="151">
                  <c:v>9.9999999999999995E-7</c:v>
                </c:pt>
                <c:pt idx="152">
                  <c:v>9.9999999999999995E-7</c:v>
                </c:pt>
                <c:pt idx="153">
                  <c:v>9.9999999999999995E-7</c:v>
                </c:pt>
                <c:pt idx="154">
                  <c:v>9.9999999999999995E-7</c:v>
                </c:pt>
                <c:pt idx="155">
                  <c:v>9.9999999999999995E-7</c:v>
                </c:pt>
                <c:pt idx="156">
                  <c:v>9.9999999999999995E-7</c:v>
                </c:pt>
                <c:pt idx="157">
                  <c:v>9.9999999999999995E-7</c:v>
                </c:pt>
                <c:pt idx="158">
                  <c:v>9.9999999999999995E-7</c:v>
                </c:pt>
                <c:pt idx="159">
                  <c:v>9.9999999999999995E-7</c:v>
                </c:pt>
                <c:pt idx="160">
                  <c:v>9.9999999999999995E-7</c:v>
                </c:pt>
                <c:pt idx="161">
                  <c:v>9.9999999999999995E-7</c:v>
                </c:pt>
                <c:pt idx="162">
                  <c:v>9.9999999999999995E-7</c:v>
                </c:pt>
                <c:pt idx="163">
                  <c:v>9.9999999999999995E-7</c:v>
                </c:pt>
                <c:pt idx="164">
                  <c:v>9.9999999999999995E-7</c:v>
                </c:pt>
                <c:pt idx="165">
                  <c:v>9.9999999999999995E-7</c:v>
                </c:pt>
                <c:pt idx="166">
                  <c:v>9.9999999999999995E-7</c:v>
                </c:pt>
                <c:pt idx="167">
                  <c:v>9.9999999999999995E-7</c:v>
                </c:pt>
                <c:pt idx="168">
                  <c:v>9.9999999999999995E-7</c:v>
                </c:pt>
                <c:pt idx="169">
                  <c:v>9.9999999999999995E-7</c:v>
                </c:pt>
                <c:pt idx="170">
                  <c:v>9.9999999999999995E-7</c:v>
                </c:pt>
                <c:pt idx="171">
                  <c:v>9.9999999999999995E-7</c:v>
                </c:pt>
                <c:pt idx="172">
                  <c:v>9.9999999999999995E-7</c:v>
                </c:pt>
                <c:pt idx="173">
                  <c:v>9.9999999999999995E-7</c:v>
                </c:pt>
                <c:pt idx="174">
                  <c:v>9.9999999999999995E-7</c:v>
                </c:pt>
                <c:pt idx="175">
                  <c:v>9.9999999999999995E-7</c:v>
                </c:pt>
                <c:pt idx="176">
                  <c:v>9.9999999999999995E-7</c:v>
                </c:pt>
                <c:pt idx="177">
                  <c:v>9.9999999999999995E-7</c:v>
                </c:pt>
                <c:pt idx="178">
                  <c:v>9.9999999999999995E-7</c:v>
                </c:pt>
                <c:pt idx="179">
                  <c:v>9.9999999999999995E-7</c:v>
                </c:pt>
                <c:pt idx="180">
                  <c:v>9.9999999999999995E-7</c:v>
                </c:pt>
                <c:pt idx="181">
                  <c:v>9.9999999999999995E-7</c:v>
                </c:pt>
                <c:pt idx="182">
                  <c:v>9.9999999999999995E-7</c:v>
                </c:pt>
                <c:pt idx="183">
                  <c:v>9.9999999999999995E-7</c:v>
                </c:pt>
                <c:pt idx="184">
                  <c:v>9.9999999999999995E-7</c:v>
                </c:pt>
                <c:pt idx="185">
                  <c:v>9.9999999999999995E-7</c:v>
                </c:pt>
                <c:pt idx="186">
                  <c:v>9.9999999999999995E-7</c:v>
                </c:pt>
                <c:pt idx="187">
                  <c:v>9.9999999999999995E-7</c:v>
                </c:pt>
                <c:pt idx="188">
                  <c:v>9.9999999999999995E-7</c:v>
                </c:pt>
                <c:pt idx="189">
                  <c:v>9.9999999999999995E-7</c:v>
                </c:pt>
                <c:pt idx="190">
                  <c:v>9.9999999999999995E-7</c:v>
                </c:pt>
                <c:pt idx="191">
                  <c:v>9.9999999999999995E-7</c:v>
                </c:pt>
                <c:pt idx="192">
                  <c:v>9.9999999999999995E-7</c:v>
                </c:pt>
                <c:pt idx="193">
                  <c:v>9.9999999999999995E-7</c:v>
                </c:pt>
                <c:pt idx="194">
                  <c:v>9.9999999999999995E-7</c:v>
                </c:pt>
                <c:pt idx="195">
                  <c:v>9.9999999999999995E-7</c:v>
                </c:pt>
                <c:pt idx="196">
                  <c:v>9.9999999999999995E-7</c:v>
                </c:pt>
                <c:pt idx="197">
                  <c:v>9.9999999999999995E-7</c:v>
                </c:pt>
                <c:pt idx="198">
                  <c:v>9.9999999999999995E-7</c:v>
                </c:pt>
                <c:pt idx="199">
                  <c:v>9.9999999999999995E-7</c:v>
                </c:pt>
                <c:pt idx="200">
                  <c:v>9.9999999999999995E-7</c:v>
                </c:pt>
                <c:pt idx="201">
                  <c:v>9.9999999999999995E-7</c:v>
                </c:pt>
                <c:pt idx="202">
                  <c:v>9.9999999999999995E-7</c:v>
                </c:pt>
                <c:pt idx="203">
                  <c:v>9.9999999999999995E-7</c:v>
                </c:pt>
                <c:pt idx="204">
                  <c:v>9.9999999999999995E-7</c:v>
                </c:pt>
                <c:pt idx="205">
                  <c:v>9.9999999999999995E-7</c:v>
                </c:pt>
                <c:pt idx="206">
                  <c:v>9.9999999999999995E-7</c:v>
                </c:pt>
                <c:pt idx="207">
                  <c:v>9.9999999999999995E-7</c:v>
                </c:pt>
                <c:pt idx="208">
                  <c:v>9.9999999999999995E-7</c:v>
                </c:pt>
                <c:pt idx="209">
                  <c:v>9.9999999999999995E-7</c:v>
                </c:pt>
                <c:pt idx="210">
                  <c:v>9.9999999999999995E-7</c:v>
                </c:pt>
                <c:pt idx="211">
                  <c:v>9.9999999999999995E-7</c:v>
                </c:pt>
                <c:pt idx="212">
                  <c:v>9.9999999999999995E-7</c:v>
                </c:pt>
                <c:pt idx="213">
                  <c:v>9.9999999999999995E-7</c:v>
                </c:pt>
                <c:pt idx="214">
                  <c:v>9.9999999999999995E-7</c:v>
                </c:pt>
                <c:pt idx="215">
                  <c:v>9.9999999999999995E-7</c:v>
                </c:pt>
                <c:pt idx="216">
                  <c:v>9.9999999999999995E-7</c:v>
                </c:pt>
                <c:pt idx="217">
                  <c:v>9.9999999999999995E-7</c:v>
                </c:pt>
                <c:pt idx="218">
                  <c:v>9.9999999999999995E-7</c:v>
                </c:pt>
                <c:pt idx="219">
                  <c:v>9.9999999999999995E-7</c:v>
                </c:pt>
                <c:pt idx="220">
                  <c:v>9.9999999999999995E-7</c:v>
                </c:pt>
                <c:pt idx="221">
                  <c:v>9.9999999999999995E-7</c:v>
                </c:pt>
                <c:pt idx="222">
                  <c:v>9.9999999999999995E-7</c:v>
                </c:pt>
                <c:pt idx="223">
                  <c:v>9.9999999999999995E-7</c:v>
                </c:pt>
                <c:pt idx="224">
                  <c:v>9.9999999999999995E-7</c:v>
                </c:pt>
                <c:pt idx="225">
                  <c:v>9.9999999999999995E-7</c:v>
                </c:pt>
                <c:pt idx="226">
                  <c:v>9.9999999999999995E-7</c:v>
                </c:pt>
                <c:pt idx="227">
                  <c:v>9.9999999999999995E-7</c:v>
                </c:pt>
                <c:pt idx="228">
                  <c:v>9.9999999999999995E-7</c:v>
                </c:pt>
                <c:pt idx="229">
                  <c:v>9.9999999999999995E-7</c:v>
                </c:pt>
                <c:pt idx="230">
                  <c:v>9.9999999999999995E-7</c:v>
                </c:pt>
                <c:pt idx="231">
                  <c:v>9.9999999999999995E-7</c:v>
                </c:pt>
                <c:pt idx="232">
                  <c:v>9.9999999999999995E-7</c:v>
                </c:pt>
                <c:pt idx="233">
                  <c:v>9.9999999999999995E-7</c:v>
                </c:pt>
                <c:pt idx="234">
                  <c:v>9.9999999999999995E-7</c:v>
                </c:pt>
                <c:pt idx="235">
                  <c:v>9.9999999999999995E-7</c:v>
                </c:pt>
                <c:pt idx="236">
                  <c:v>9.9999999999999995E-7</c:v>
                </c:pt>
                <c:pt idx="237">
                  <c:v>9.9999999999999995E-7</c:v>
                </c:pt>
                <c:pt idx="238">
                  <c:v>9.9999999999999995E-7</c:v>
                </c:pt>
                <c:pt idx="239">
                  <c:v>9.9999999999999995E-7</c:v>
                </c:pt>
                <c:pt idx="240">
                  <c:v>9.9999999999999995E-7</c:v>
                </c:pt>
                <c:pt idx="241">
                  <c:v>9.9999999999999995E-7</c:v>
                </c:pt>
                <c:pt idx="242">
                  <c:v>9.9999999999999995E-7</c:v>
                </c:pt>
                <c:pt idx="243">
                  <c:v>9.9999999999999995E-7</c:v>
                </c:pt>
                <c:pt idx="244">
                  <c:v>9.9999999999999995E-7</c:v>
                </c:pt>
                <c:pt idx="245">
                  <c:v>9.9999999999999995E-7</c:v>
                </c:pt>
                <c:pt idx="246">
                  <c:v>9.9999999999999995E-7</c:v>
                </c:pt>
                <c:pt idx="247">
                  <c:v>9.9999999999999995E-7</c:v>
                </c:pt>
                <c:pt idx="248">
                  <c:v>9.9999999999999995E-7</c:v>
                </c:pt>
                <c:pt idx="249">
                  <c:v>9.9999999999999995E-7</c:v>
                </c:pt>
                <c:pt idx="250">
                  <c:v>9.9999999999999995E-7</c:v>
                </c:pt>
                <c:pt idx="251">
                  <c:v>9.9999999999999995E-7</c:v>
                </c:pt>
                <c:pt idx="252">
                  <c:v>9.9999999999999995E-7</c:v>
                </c:pt>
                <c:pt idx="253">
                  <c:v>9.9999999999999995E-7</c:v>
                </c:pt>
                <c:pt idx="254">
                  <c:v>9.9999999999999995E-7</c:v>
                </c:pt>
                <c:pt idx="255">
                  <c:v>9.9999999999999995E-7</c:v>
                </c:pt>
                <c:pt idx="256">
                  <c:v>9.9999999999999995E-7</c:v>
                </c:pt>
                <c:pt idx="257">
                  <c:v>9.9999999999999995E-7</c:v>
                </c:pt>
                <c:pt idx="258">
                  <c:v>9.9999999999999995E-7</c:v>
                </c:pt>
                <c:pt idx="259">
                  <c:v>9.9999999999999995E-7</c:v>
                </c:pt>
                <c:pt idx="260">
                  <c:v>9.9999999999999995E-7</c:v>
                </c:pt>
                <c:pt idx="261">
                  <c:v>9.9999999999999995E-7</c:v>
                </c:pt>
                <c:pt idx="262">
                  <c:v>9.9999999999999995E-7</c:v>
                </c:pt>
                <c:pt idx="263">
                  <c:v>9.9999999999999995E-7</c:v>
                </c:pt>
                <c:pt idx="264">
                  <c:v>9.9999999999999995E-7</c:v>
                </c:pt>
                <c:pt idx="265">
                  <c:v>9.9999999999999995E-7</c:v>
                </c:pt>
                <c:pt idx="266">
                  <c:v>9.9999999999999995E-7</c:v>
                </c:pt>
                <c:pt idx="267">
                  <c:v>9.9999999999999995E-7</c:v>
                </c:pt>
                <c:pt idx="268">
                  <c:v>9.9999999999999995E-7</c:v>
                </c:pt>
                <c:pt idx="269">
                  <c:v>9.9999999999999995E-7</c:v>
                </c:pt>
                <c:pt idx="270">
                  <c:v>9.9999999999999995E-7</c:v>
                </c:pt>
                <c:pt idx="271">
                  <c:v>9.9999999999999995E-7</c:v>
                </c:pt>
                <c:pt idx="272">
                  <c:v>9.9999999999999995E-7</c:v>
                </c:pt>
                <c:pt idx="273">
                  <c:v>9.9999999999999995E-7</c:v>
                </c:pt>
                <c:pt idx="274">
                  <c:v>9.9999999999999995E-7</c:v>
                </c:pt>
                <c:pt idx="275">
                  <c:v>9.9999999999999995E-7</c:v>
                </c:pt>
                <c:pt idx="276">
                  <c:v>9.9999999999999995E-7</c:v>
                </c:pt>
                <c:pt idx="277">
                  <c:v>9.9999999999999995E-7</c:v>
                </c:pt>
                <c:pt idx="278">
                  <c:v>9.9999999999999995E-7</c:v>
                </c:pt>
                <c:pt idx="279">
                  <c:v>9.9999999999999995E-7</c:v>
                </c:pt>
                <c:pt idx="280">
                  <c:v>9.9999999999999995E-7</c:v>
                </c:pt>
                <c:pt idx="281">
                  <c:v>9.9999999999999995E-7</c:v>
                </c:pt>
                <c:pt idx="282">
                  <c:v>9.9999999999999995E-7</c:v>
                </c:pt>
                <c:pt idx="283">
                  <c:v>9.9999999999999995E-7</c:v>
                </c:pt>
                <c:pt idx="284">
                  <c:v>9.9999999999999995E-7</c:v>
                </c:pt>
                <c:pt idx="285">
                  <c:v>9.9999999999999995E-7</c:v>
                </c:pt>
                <c:pt idx="286">
                  <c:v>9.9999999999999995E-7</c:v>
                </c:pt>
                <c:pt idx="287">
                  <c:v>9.9999999999999995E-7</c:v>
                </c:pt>
                <c:pt idx="288">
                  <c:v>9.9999999999999995E-7</c:v>
                </c:pt>
                <c:pt idx="289">
                  <c:v>9.9999999999999995E-7</c:v>
                </c:pt>
                <c:pt idx="290">
                  <c:v>9.9999999999999995E-7</c:v>
                </c:pt>
                <c:pt idx="291">
                  <c:v>9.9999999999999995E-7</c:v>
                </c:pt>
                <c:pt idx="292">
                  <c:v>9.9999999999999995E-7</c:v>
                </c:pt>
                <c:pt idx="293">
                  <c:v>9.9999999999999995E-7</c:v>
                </c:pt>
                <c:pt idx="294">
                  <c:v>9.9999999999999995E-7</c:v>
                </c:pt>
                <c:pt idx="295">
                  <c:v>9.9999999999999995E-7</c:v>
                </c:pt>
                <c:pt idx="296">
                  <c:v>9.9999999999999995E-7</c:v>
                </c:pt>
                <c:pt idx="297">
                  <c:v>9.9999999999999995E-7</c:v>
                </c:pt>
                <c:pt idx="298">
                  <c:v>9.9999999999999995E-7</c:v>
                </c:pt>
                <c:pt idx="299">
                  <c:v>9.9999999999999995E-7</c:v>
                </c:pt>
                <c:pt idx="300">
                  <c:v>9.9999999999999995E-7</c:v>
                </c:pt>
                <c:pt idx="301">
                  <c:v>9.9999999999999995E-7</c:v>
                </c:pt>
                <c:pt idx="302">
                  <c:v>9.9999999999999995E-7</c:v>
                </c:pt>
                <c:pt idx="303">
                  <c:v>9.9999999999999995E-7</c:v>
                </c:pt>
                <c:pt idx="304">
                  <c:v>9.9999999999999995E-7</c:v>
                </c:pt>
                <c:pt idx="305">
                  <c:v>9.9999999999999995E-7</c:v>
                </c:pt>
                <c:pt idx="306">
                  <c:v>9.9999999999999995E-7</c:v>
                </c:pt>
                <c:pt idx="307">
                  <c:v>9.9999999999999995E-7</c:v>
                </c:pt>
                <c:pt idx="308">
                  <c:v>9.9999999999999995E-7</c:v>
                </c:pt>
                <c:pt idx="309">
                  <c:v>9.9999999999999995E-7</c:v>
                </c:pt>
                <c:pt idx="310">
                  <c:v>9.9999999999999995E-7</c:v>
                </c:pt>
                <c:pt idx="311">
                  <c:v>9.9999999999999995E-7</c:v>
                </c:pt>
                <c:pt idx="312">
                  <c:v>9.9999999999999995E-7</c:v>
                </c:pt>
                <c:pt idx="313">
                  <c:v>9.9999999999999995E-7</c:v>
                </c:pt>
                <c:pt idx="314">
                  <c:v>9.9999999999999995E-7</c:v>
                </c:pt>
                <c:pt idx="315">
                  <c:v>9.9999999999999995E-7</c:v>
                </c:pt>
                <c:pt idx="316">
                  <c:v>9.9999999999999995E-7</c:v>
                </c:pt>
                <c:pt idx="317">
                  <c:v>9.9999999999999995E-7</c:v>
                </c:pt>
                <c:pt idx="318">
                  <c:v>9.9999999999999995E-7</c:v>
                </c:pt>
                <c:pt idx="319">
                  <c:v>9.9999999999999995E-7</c:v>
                </c:pt>
                <c:pt idx="320">
                  <c:v>9.9999999999999995E-7</c:v>
                </c:pt>
                <c:pt idx="321">
                  <c:v>9.9999999999999995E-7</c:v>
                </c:pt>
                <c:pt idx="322">
                  <c:v>9.9999999999999995E-7</c:v>
                </c:pt>
                <c:pt idx="323">
                  <c:v>9.9999999999999995E-7</c:v>
                </c:pt>
                <c:pt idx="324">
                  <c:v>9.9999999999999995E-7</c:v>
                </c:pt>
                <c:pt idx="325">
                  <c:v>9.9999999999999995E-7</c:v>
                </c:pt>
                <c:pt idx="326">
                  <c:v>9.9999999999999995E-7</c:v>
                </c:pt>
                <c:pt idx="327">
                  <c:v>9.9999999999999995E-7</c:v>
                </c:pt>
                <c:pt idx="328">
                  <c:v>9.9999999999999995E-7</c:v>
                </c:pt>
                <c:pt idx="329">
                  <c:v>9.9999999999999995E-7</c:v>
                </c:pt>
                <c:pt idx="330">
                  <c:v>9.9999999999999995E-7</c:v>
                </c:pt>
                <c:pt idx="331">
                  <c:v>9.9999999999999995E-7</c:v>
                </c:pt>
                <c:pt idx="332">
                  <c:v>9.9999999999999995E-7</c:v>
                </c:pt>
                <c:pt idx="333">
                  <c:v>9.9999999999999995E-7</c:v>
                </c:pt>
                <c:pt idx="334">
                  <c:v>9.9999999999999995E-7</c:v>
                </c:pt>
                <c:pt idx="335">
                  <c:v>9.9999999999999995E-7</c:v>
                </c:pt>
                <c:pt idx="336">
                  <c:v>9.9999999999999995E-7</c:v>
                </c:pt>
                <c:pt idx="337">
                  <c:v>9.9999999999999995E-7</c:v>
                </c:pt>
                <c:pt idx="338">
                  <c:v>9.9999999999999995E-7</c:v>
                </c:pt>
                <c:pt idx="339">
                  <c:v>9.9999999999999995E-7</c:v>
                </c:pt>
                <c:pt idx="340">
                  <c:v>9.9999999999999995E-7</c:v>
                </c:pt>
                <c:pt idx="341">
                  <c:v>9.9999999999999995E-7</c:v>
                </c:pt>
                <c:pt idx="342">
                  <c:v>9.9999999999999995E-7</c:v>
                </c:pt>
                <c:pt idx="343">
                  <c:v>9.9999999999999995E-7</c:v>
                </c:pt>
                <c:pt idx="344">
                  <c:v>9.9999999999999995E-7</c:v>
                </c:pt>
                <c:pt idx="345">
                  <c:v>9.9999999999999995E-7</c:v>
                </c:pt>
                <c:pt idx="346">
                  <c:v>9.9999999999999995E-7</c:v>
                </c:pt>
                <c:pt idx="347">
                  <c:v>9.9999999999999995E-7</c:v>
                </c:pt>
                <c:pt idx="348">
                  <c:v>9.9999999999999995E-7</c:v>
                </c:pt>
                <c:pt idx="349">
                  <c:v>9.9999999999999995E-7</c:v>
                </c:pt>
                <c:pt idx="350">
                  <c:v>9.9999999999999995E-7</c:v>
                </c:pt>
                <c:pt idx="351">
                  <c:v>9.9999999999999995E-7</c:v>
                </c:pt>
                <c:pt idx="352">
                  <c:v>9.9999999999999995E-7</c:v>
                </c:pt>
                <c:pt idx="353">
                  <c:v>9.9999999999999995E-7</c:v>
                </c:pt>
                <c:pt idx="354">
                  <c:v>9.9999999999999995E-7</c:v>
                </c:pt>
                <c:pt idx="355">
                  <c:v>9.9999999999999995E-7</c:v>
                </c:pt>
                <c:pt idx="356">
                  <c:v>9.9999999999999995E-7</c:v>
                </c:pt>
                <c:pt idx="357">
                  <c:v>9.9999999999999995E-7</c:v>
                </c:pt>
                <c:pt idx="358">
                  <c:v>9.9999999999999995E-7</c:v>
                </c:pt>
                <c:pt idx="359">
                  <c:v>9.9999999999999995E-7</c:v>
                </c:pt>
                <c:pt idx="360">
                  <c:v>9.9999999999999995E-7</c:v>
                </c:pt>
                <c:pt idx="361">
                  <c:v>9.9999999999999995E-7</c:v>
                </c:pt>
                <c:pt idx="362">
                  <c:v>9.9999999999999995E-7</c:v>
                </c:pt>
                <c:pt idx="363">
                  <c:v>9.9999999999999995E-7</c:v>
                </c:pt>
                <c:pt idx="364">
                  <c:v>9.9999999999999995E-7</c:v>
                </c:pt>
              </c:numCache>
            </c:numRef>
          </c:val>
          <c:extLst>
            <c:ext xmlns:c16="http://schemas.microsoft.com/office/drawing/2014/chart" uri="{C3380CC4-5D6E-409C-BE32-E72D297353CC}">
              <c16:uniqueId val="{00000000-847B-4C41-94B0-4B0E49579292}"/>
            </c:ext>
          </c:extLst>
        </c:ser>
        <c:ser>
          <c:idx val="2"/>
          <c:order val="1"/>
          <c:tx>
            <c:strRef>
              <c:f>'JSM FW Dreieck'!$W$17</c:f>
              <c:strCache>
                <c:ptCount val="1"/>
                <c:pt idx="0">
                  <c:v>TW/RW</c:v>
                </c:pt>
              </c:strCache>
            </c:strRef>
          </c:tx>
          <c:invertIfNegative val="0"/>
          <c:dPt>
            <c:idx val="135"/>
            <c:invertIfNegative val="0"/>
            <c:bubble3D val="0"/>
            <c:spPr>
              <a:solidFill>
                <a:srgbClr val="FF0000"/>
              </a:solidFill>
              <a:ln>
                <a:solidFill>
                  <a:srgbClr val="FF0000"/>
                </a:solidFill>
              </a:ln>
            </c:spPr>
            <c:extLst>
              <c:ext xmlns:c16="http://schemas.microsoft.com/office/drawing/2014/chart" uri="{C3380CC4-5D6E-409C-BE32-E72D297353CC}">
                <c16:uniqueId val="{00000002-847B-4C41-94B0-4B0E49579292}"/>
              </c:ext>
            </c:extLst>
          </c:dPt>
          <c:dPt>
            <c:idx val="172"/>
            <c:invertIfNegative val="0"/>
            <c:bubble3D val="0"/>
            <c:spPr>
              <a:solidFill>
                <a:srgbClr val="FFFF00">
                  <a:alpha val="51000"/>
                </a:srgbClr>
              </a:solidFill>
              <a:ln w="31750">
                <a:solidFill>
                  <a:srgbClr val="FFFF00">
                    <a:alpha val="50000"/>
                  </a:srgbClr>
                </a:solidFill>
              </a:ln>
            </c:spPr>
            <c:extLst>
              <c:ext xmlns:c16="http://schemas.microsoft.com/office/drawing/2014/chart" uri="{C3380CC4-5D6E-409C-BE32-E72D297353CC}">
                <c16:uniqueId val="{00000004-847B-4C41-94B0-4B0E49579292}"/>
              </c:ext>
            </c:extLst>
          </c:dPt>
          <c:dPt>
            <c:idx val="177"/>
            <c:invertIfNegative val="0"/>
            <c:bubble3D val="0"/>
            <c:spPr>
              <a:solidFill>
                <a:srgbClr val="FFFF00"/>
              </a:solidFill>
            </c:spPr>
            <c:extLst>
              <c:ext xmlns:c16="http://schemas.microsoft.com/office/drawing/2014/chart" uri="{C3380CC4-5D6E-409C-BE32-E72D297353CC}">
                <c16:uniqueId val="{00000006-847B-4C41-94B0-4B0E49579292}"/>
              </c:ext>
            </c:extLst>
          </c:dPt>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Dreieck'!$W$18:$W$382</c:f>
              <c:numCache>
                <c:formatCode>General</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7-847B-4C41-94B0-4B0E49579292}"/>
            </c:ext>
          </c:extLst>
        </c:ser>
        <c:ser>
          <c:idx val="3"/>
          <c:order val="2"/>
          <c:tx>
            <c:strRef>
              <c:f>'JSM FW Dreieck'!$Y$17</c:f>
              <c:strCache>
                <c:ptCount val="1"/>
                <c:pt idx="0">
                  <c:v>Fremdwasser</c:v>
                </c:pt>
              </c:strCache>
            </c:strRef>
          </c:tx>
          <c:spPr>
            <a:solidFill>
              <a:schemeClr val="accent6">
                <a:lumMod val="50000"/>
                <a:alpha val="57000"/>
              </a:schemeClr>
            </a:solid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invertIfNegative val="0"/>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Dreieck'!$Y$18:$Y$382</c:f>
              <c:numCache>
                <c:formatCode>General</c:formatCode>
                <c:ptCount val="365"/>
                <c:pt idx="0">
                  <c:v>3.6500000000000237E-4</c:v>
                </c:pt>
                <c:pt idx="1">
                  <c:v>3.640000000000024E-4</c:v>
                </c:pt>
                <c:pt idx="2">
                  <c:v>3.6300000000000237E-4</c:v>
                </c:pt>
                <c:pt idx="3">
                  <c:v>3.6200000000000235E-4</c:v>
                </c:pt>
                <c:pt idx="4">
                  <c:v>3.6100000000000238E-4</c:v>
                </c:pt>
                <c:pt idx="5">
                  <c:v>3.6000000000000235E-4</c:v>
                </c:pt>
                <c:pt idx="6">
                  <c:v>3.5900000000000233E-4</c:v>
                </c:pt>
                <c:pt idx="7">
                  <c:v>3.5800000000000236E-4</c:v>
                </c:pt>
                <c:pt idx="8">
                  <c:v>3.5700000000000233E-4</c:v>
                </c:pt>
                <c:pt idx="9">
                  <c:v>3.5600000000000231E-4</c:v>
                </c:pt>
                <c:pt idx="10">
                  <c:v>3.5500000000000234E-4</c:v>
                </c:pt>
                <c:pt idx="11">
                  <c:v>3.5400000000000232E-4</c:v>
                </c:pt>
                <c:pt idx="12">
                  <c:v>3.5300000000000229E-4</c:v>
                </c:pt>
                <c:pt idx="13">
                  <c:v>3.5200000000000227E-4</c:v>
                </c:pt>
                <c:pt idx="14">
                  <c:v>3.510000000000023E-4</c:v>
                </c:pt>
                <c:pt idx="15">
                  <c:v>3.5000000000000227E-4</c:v>
                </c:pt>
                <c:pt idx="16">
                  <c:v>3.4900000000000225E-4</c:v>
                </c:pt>
                <c:pt idx="17">
                  <c:v>3.4800000000000228E-4</c:v>
                </c:pt>
                <c:pt idx="18">
                  <c:v>3.4700000000000225E-4</c:v>
                </c:pt>
                <c:pt idx="19">
                  <c:v>3.4600000000000223E-4</c:v>
                </c:pt>
                <c:pt idx="20">
                  <c:v>3.4500000000000226E-4</c:v>
                </c:pt>
                <c:pt idx="21">
                  <c:v>3.4400000000000224E-4</c:v>
                </c:pt>
                <c:pt idx="22">
                  <c:v>3.4300000000000221E-4</c:v>
                </c:pt>
                <c:pt idx="23">
                  <c:v>3.4200000000000224E-4</c:v>
                </c:pt>
                <c:pt idx="24">
                  <c:v>3.4100000000000222E-4</c:v>
                </c:pt>
                <c:pt idx="25">
                  <c:v>3.4000000000000219E-4</c:v>
                </c:pt>
                <c:pt idx="26">
                  <c:v>3.3900000000000222E-4</c:v>
                </c:pt>
                <c:pt idx="27">
                  <c:v>3.380000000000022E-4</c:v>
                </c:pt>
                <c:pt idx="28">
                  <c:v>3.3700000000000217E-4</c:v>
                </c:pt>
                <c:pt idx="29">
                  <c:v>3.360000000000022E-4</c:v>
                </c:pt>
                <c:pt idx="30">
                  <c:v>3.3500000000000218E-4</c:v>
                </c:pt>
                <c:pt idx="31">
                  <c:v>3.3400000000000216E-4</c:v>
                </c:pt>
                <c:pt idx="32">
                  <c:v>3.3300000000000219E-4</c:v>
                </c:pt>
                <c:pt idx="33">
                  <c:v>3.3200000000000216E-4</c:v>
                </c:pt>
                <c:pt idx="34">
                  <c:v>3.3100000000000214E-4</c:v>
                </c:pt>
                <c:pt idx="35">
                  <c:v>3.3000000000000217E-4</c:v>
                </c:pt>
                <c:pt idx="36">
                  <c:v>3.2900000000000214E-4</c:v>
                </c:pt>
                <c:pt idx="37">
                  <c:v>3.2800000000000212E-4</c:v>
                </c:pt>
                <c:pt idx="38">
                  <c:v>3.2700000000000215E-4</c:v>
                </c:pt>
                <c:pt idx="39">
                  <c:v>3.2600000000000212E-4</c:v>
                </c:pt>
                <c:pt idx="40">
                  <c:v>3.250000000000021E-4</c:v>
                </c:pt>
                <c:pt idx="41">
                  <c:v>3.2400000000000213E-4</c:v>
                </c:pt>
                <c:pt idx="42">
                  <c:v>3.230000000000021E-4</c:v>
                </c:pt>
                <c:pt idx="43">
                  <c:v>3.2200000000000208E-4</c:v>
                </c:pt>
                <c:pt idx="44">
                  <c:v>3.2100000000000211E-4</c:v>
                </c:pt>
                <c:pt idx="45">
                  <c:v>3.2000000000000209E-4</c:v>
                </c:pt>
                <c:pt idx="46">
                  <c:v>3.1900000000000206E-4</c:v>
                </c:pt>
                <c:pt idx="47">
                  <c:v>3.1800000000000209E-4</c:v>
                </c:pt>
                <c:pt idx="48">
                  <c:v>3.1700000000000207E-4</c:v>
                </c:pt>
                <c:pt idx="49">
                  <c:v>3.1600000000000204E-4</c:v>
                </c:pt>
                <c:pt idx="50">
                  <c:v>3.1500000000000207E-4</c:v>
                </c:pt>
                <c:pt idx="51">
                  <c:v>3.1400000000000205E-4</c:v>
                </c:pt>
                <c:pt idx="52">
                  <c:v>3.1300000000000202E-4</c:v>
                </c:pt>
                <c:pt idx="53">
                  <c:v>3.1200000000000205E-4</c:v>
                </c:pt>
                <c:pt idx="54">
                  <c:v>3.1100000000000203E-4</c:v>
                </c:pt>
                <c:pt idx="55">
                  <c:v>3.1000000000000201E-4</c:v>
                </c:pt>
                <c:pt idx="56">
                  <c:v>3.0900000000000204E-4</c:v>
                </c:pt>
                <c:pt idx="57">
                  <c:v>3.0800000000000201E-4</c:v>
                </c:pt>
                <c:pt idx="58">
                  <c:v>3.0700000000000199E-4</c:v>
                </c:pt>
                <c:pt idx="59">
                  <c:v>3.0600000000000202E-4</c:v>
                </c:pt>
                <c:pt idx="60">
                  <c:v>3.0500000000000199E-4</c:v>
                </c:pt>
                <c:pt idx="61">
                  <c:v>3.0400000000000197E-4</c:v>
                </c:pt>
                <c:pt idx="62">
                  <c:v>3.03000000000002E-4</c:v>
                </c:pt>
                <c:pt idx="63">
                  <c:v>3.0200000000000197E-4</c:v>
                </c:pt>
                <c:pt idx="64">
                  <c:v>3.0100000000000195E-4</c:v>
                </c:pt>
                <c:pt idx="65">
                  <c:v>3.0000000000000198E-4</c:v>
                </c:pt>
                <c:pt idx="66">
                  <c:v>2.9900000000000196E-4</c:v>
                </c:pt>
                <c:pt idx="67">
                  <c:v>2.9800000000000193E-4</c:v>
                </c:pt>
                <c:pt idx="68">
                  <c:v>2.9700000000000196E-4</c:v>
                </c:pt>
                <c:pt idx="69">
                  <c:v>2.9600000000000194E-4</c:v>
                </c:pt>
                <c:pt idx="70">
                  <c:v>2.9500000000000191E-4</c:v>
                </c:pt>
                <c:pt idx="71">
                  <c:v>2.9400000000000194E-4</c:v>
                </c:pt>
                <c:pt idx="72">
                  <c:v>2.9300000000000192E-4</c:v>
                </c:pt>
                <c:pt idx="73">
                  <c:v>2.9200000000000189E-4</c:v>
                </c:pt>
                <c:pt idx="74">
                  <c:v>2.9100000000000192E-4</c:v>
                </c:pt>
                <c:pt idx="75">
                  <c:v>2.900000000000019E-4</c:v>
                </c:pt>
                <c:pt idx="76">
                  <c:v>2.8900000000000187E-4</c:v>
                </c:pt>
                <c:pt idx="77">
                  <c:v>2.880000000000019E-4</c:v>
                </c:pt>
                <c:pt idx="78">
                  <c:v>2.8700000000000188E-4</c:v>
                </c:pt>
                <c:pt idx="79">
                  <c:v>2.8600000000000186E-4</c:v>
                </c:pt>
                <c:pt idx="80">
                  <c:v>2.8500000000000183E-4</c:v>
                </c:pt>
                <c:pt idx="81">
                  <c:v>2.8400000000000186E-4</c:v>
                </c:pt>
                <c:pt idx="82">
                  <c:v>2.8300000000000184E-4</c:v>
                </c:pt>
                <c:pt idx="83">
                  <c:v>2.8200000000000181E-4</c:v>
                </c:pt>
                <c:pt idx="84">
                  <c:v>2.8100000000000184E-4</c:v>
                </c:pt>
                <c:pt idx="85">
                  <c:v>2.8000000000000182E-4</c:v>
                </c:pt>
                <c:pt idx="86">
                  <c:v>2.7900000000000179E-4</c:v>
                </c:pt>
                <c:pt idx="87">
                  <c:v>2.7800000000000182E-4</c:v>
                </c:pt>
                <c:pt idx="88">
                  <c:v>2.770000000000018E-4</c:v>
                </c:pt>
                <c:pt idx="89">
                  <c:v>2.7600000000000178E-4</c:v>
                </c:pt>
                <c:pt idx="90">
                  <c:v>2.7500000000000181E-4</c:v>
                </c:pt>
                <c:pt idx="91">
                  <c:v>2.7400000000000178E-4</c:v>
                </c:pt>
                <c:pt idx="92">
                  <c:v>2.7300000000000176E-4</c:v>
                </c:pt>
                <c:pt idx="93">
                  <c:v>2.7200000000000179E-4</c:v>
                </c:pt>
                <c:pt idx="94">
                  <c:v>2.7100000000000176E-4</c:v>
                </c:pt>
                <c:pt idx="95">
                  <c:v>2.7000000000000174E-4</c:v>
                </c:pt>
                <c:pt idx="96">
                  <c:v>2.6900000000000177E-4</c:v>
                </c:pt>
                <c:pt idx="97">
                  <c:v>2.6800000000000174E-4</c:v>
                </c:pt>
                <c:pt idx="98">
                  <c:v>2.6700000000000172E-4</c:v>
                </c:pt>
                <c:pt idx="99">
                  <c:v>2.6600000000000175E-4</c:v>
                </c:pt>
                <c:pt idx="100">
                  <c:v>2.6500000000000173E-4</c:v>
                </c:pt>
                <c:pt idx="101">
                  <c:v>2.640000000000017E-4</c:v>
                </c:pt>
                <c:pt idx="102">
                  <c:v>2.6300000000000173E-4</c:v>
                </c:pt>
                <c:pt idx="103">
                  <c:v>2.6200000000000171E-4</c:v>
                </c:pt>
                <c:pt idx="104">
                  <c:v>2.6100000000000168E-4</c:v>
                </c:pt>
                <c:pt idx="105">
                  <c:v>2.6000000000000171E-4</c:v>
                </c:pt>
                <c:pt idx="106">
                  <c:v>2.5900000000000169E-4</c:v>
                </c:pt>
                <c:pt idx="107">
                  <c:v>2.5800000000000166E-4</c:v>
                </c:pt>
                <c:pt idx="108">
                  <c:v>2.5700000000000169E-4</c:v>
                </c:pt>
                <c:pt idx="109">
                  <c:v>2.5600000000000167E-4</c:v>
                </c:pt>
                <c:pt idx="110">
                  <c:v>2.5500000000000164E-4</c:v>
                </c:pt>
                <c:pt idx="111">
                  <c:v>2.5400000000000167E-4</c:v>
                </c:pt>
                <c:pt idx="112">
                  <c:v>2.5300000000000165E-4</c:v>
                </c:pt>
                <c:pt idx="113">
                  <c:v>2.5200000000000163E-4</c:v>
                </c:pt>
                <c:pt idx="114">
                  <c:v>2.5100000000000166E-4</c:v>
                </c:pt>
                <c:pt idx="115">
                  <c:v>2.5000000000000163E-4</c:v>
                </c:pt>
                <c:pt idx="116">
                  <c:v>2.4900000000000161E-4</c:v>
                </c:pt>
                <c:pt idx="117">
                  <c:v>2.4800000000000164E-4</c:v>
                </c:pt>
                <c:pt idx="118">
                  <c:v>2.4700000000000161E-4</c:v>
                </c:pt>
                <c:pt idx="119">
                  <c:v>2.4600000000000159E-4</c:v>
                </c:pt>
                <c:pt idx="120">
                  <c:v>2.4500000000000162E-4</c:v>
                </c:pt>
                <c:pt idx="121">
                  <c:v>2.4400000000000159E-4</c:v>
                </c:pt>
                <c:pt idx="122">
                  <c:v>2.430000000000016E-4</c:v>
                </c:pt>
                <c:pt idx="123">
                  <c:v>2.4200000000000157E-4</c:v>
                </c:pt>
                <c:pt idx="124">
                  <c:v>2.4100000000000158E-4</c:v>
                </c:pt>
                <c:pt idx="125">
                  <c:v>2.4000000000000155E-4</c:v>
                </c:pt>
                <c:pt idx="126">
                  <c:v>2.3900000000000155E-4</c:v>
                </c:pt>
                <c:pt idx="127">
                  <c:v>2.3800000000000156E-4</c:v>
                </c:pt>
                <c:pt idx="128">
                  <c:v>2.3700000000000153E-4</c:v>
                </c:pt>
                <c:pt idx="129">
                  <c:v>2.3600000000000154E-4</c:v>
                </c:pt>
                <c:pt idx="130">
                  <c:v>2.3500000000000154E-4</c:v>
                </c:pt>
                <c:pt idx="131">
                  <c:v>2.3400000000000151E-4</c:v>
                </c:pt>
                <c:pt idx="132">
                  <c:v>2.3300000000000152E-4</c:v>
                </c:pt>
                <c:pt idx="133">
                  <c:v>2.3200000000000152E-4</c:v>
                </c:pt>
                <c:pt idx="134">
                  <c:v>2.3100000000000149E-4</c:v>
                </c:pt>
                <c:pt idx="135">
                  <c:v>2.300000000000015E-4</c:v>
                </c:pt>
                <c:pt idx="136">
                  <c:v>2.290000000000015E-4</c:v>
                </c:pt>
                <c:pt idx="137">
                  <c:v>2.2800000000000148E-4</c:v>
                </c:pt>
                <c:pt idx="138">
                  <c:v>2.2700000000000148E-4</c:v>
                </c:pt>
                <c:pt idx="139">
                  <c:v>2.2600000000000148E-4</c:v>
                </c:pt>
                <c:pt idx="140">
                  <c:v>2.2500000000000146E-4</c:v>
                </c:pt>
                <c:pt idx="141">
                  <c:v>2.2400000000000146E-4</c:v>
                </c:pt>
                <c:pt idx="142">
                  <c:v>2.2300000000000146E-4</c:v>
                </c:pt>
                <c:pt idx="143">
                  <c:v>2.2200000000000144E-4</c:v>
                </c:pt>
                <c:pt idx="144">
                  <c:v>2.2100000000000144E-4</c:v>
                </c:pt>
                <c:pt idx="145">
                  <c:v>2.2000000000000144E-4</c:v>
                </c:pt>
                <c:pt idx="146">
                  <c:v>2.1900000000000142E-4</c:v>
                </c:pt>
                <c:pt idx="147">
                  <c:v>2.1800000000000142E-4</c:v>
                </c:pt>
                <c:pt idx="148">
                  <c:v>2.1700000000000143E-4</c:v>
                </c:pt>
                <c:pt idx="149">
                  <c:v>2.160000000000014E-4</c:v>
                </c:pt>
                <c:pt idx="150">
                  <c:v>2.150000000000014E-4</c:v>
                </c:pt>
                <c:pt idx="151">
                  <c:v>2.1400000000000141E-4</c:v>
                </c:pt>
                <c:pt idx="152">
                  <c:v>2.1300000000000138E-4</c:v>
                </c:pt>
                <c:pt idx="153">
                  <c:v>2.1200000000000139E-4</c:v>
                </c:pt>
                <c:pt idx="154">
                  <c:v>2.1100000000000139E-4</c:v>
                </c:pt>
                <c:pt idx="155">
                  <c:v>2.1000000000000136E-4</c:v>
                </c:pt>
                <c:pt idx="156">
                  <c:v>2.0900000000000137E-4</c:v>
                </c:pt>
                <c:pt idx="157">
                  <c:v>2.0800000000000137E-4</c:v>
                </c:pt>
                <c:pt idx="158">
                  <c:v>2.0700000000000135E-4</c:v>
                </c:pt>
                <c:pt idx="159">
                  <c:v>2.0600000000000135E-4</c:v>
                </c:pt>
                <c:pt idx="160">
                  <c:v>2.0500000000000132E-4</c:v>
                </c:pt>
                <c:pt idx="161">
                  <c:v>2.0400000000000133E-4</c:v>
                </c:pt>
                <c:pt idx="162">
                  <c:v>2.0300000000000133E-4</c:v>
                </c:pt>
                <c:pt idx="163">
                  <c:v>2.0200000000000131E-4</c:v>
                </c:pt>
                <c:pt idx="164">
                  <c:v>2.0100000000000131E-4</c:v>
                </c:pt>
                <c:pt idx="165">
                  <c:v>2.0000000000000131E-4</c:v>
                </c:pt>
                <c:pt idx="166">
                  <c:v>1.9900000000000129E-4</c:v>
                </c:pt>
                <c:pt idx="167">
                  <c:v>1.9800000000000129E-4</c:v>
                </c:pt>
                <c:pt idx="168">
                  <c:v>1.9700000000000129E-4</c:v>
                </c:pt>
                <c:pt idx="169">
                  <c:v>1.9600000000000127E-4</c:v>
                </c:pt>
                <c:pt idx="170">
                  <c:v>1.9500000000000127E-4</c:v>
                </c:pt>
                <c:pt idx="171">
                  <c:v>1.9400000000000127E-4</c:v>
                </c:pt>
                <c:pt idx="172">
                  <c:v>1.9300000000000125E-4</c:v>
                </c:pt>
                <c:pt idx="173">
                  <c:v>1.9200000000000125E-4</c:v>
                </c:pt>
                <c:pt idx="174">
                  <c:v>1.9100000000000125E-4</c:v>
                </c:pt>
                <c:pt idx="175">
                  <c:v>1.9000000000000123E-4</c:v>
                </c:pt>
                <c:pt idx="176">
                  <c:v>1.8900000000000123E-4</c:v>
                </c:pt>
                <c:pt idx="177">
                  <c:v>1.8800000000000124E-4</c:v>
                </c:pt>
                <c:pt idx="178">
                  <c:v>1.8700000000000121E-4</c:v>
                </c:pt>
                <c:pt idx="179">
                  <c:v>1.8600000000000121E-4</c:v>
                </c:pt>
                <c:pt idx="180">
                  <c:v>1.8500000000000122E-4</c:v>
                </c:pt>
                <c:pt idx="181">
                  <c:v>1.8400000000000119E-4</c:v>
                </c:pt>
                <c:pt idx="182">
                  <c:v>1.830000000000012E-4</c:v>
                </c:pt>
                <c:pt idx="183">
                  <c:v>1.820000000000012E-4</c:v>
                </c:pt>
                <c:pt idx="184">
                  <c:v>1.8100000000000117E-4</c:v>
                </c:pt>
                <c:pt idx="185">
                  <c:v>1.8000000000000118E-4</c:v>
                </c:pt>
                <c:pt idx="186">
                  <c:v>1.7900000000000118E-4</c:v>
                </c:pt>
                <c:pt idx="187">
                  <c:v>1.7800000000000116E-4</c:v>
                </c:pt>
                <c:pt idx="188">
                  <c:v>1.7700000000000116E-4</c:v>
                </c:pt>
                <c:pt idx="189">
                  <c:v>1.7600000000000113E-4</c:v>
                </c:pt>
                <c:pt idx="190">
                  <c:v>1.7500000000000114E-4</c:v>
                </c:pt>
                <c:pt idx="191">
                  <c:v>1.7400000000000114E-4</c:v>
                </c:pt>
                <c:pt idx="192">
                  <c:v>1.7300000000000112E-4</c:v>
                </c:pt>
                <c:pt idx="193">
                  <c:v>1.7200000000000112E-4</c:v>
                </c:pt>
                <c:pt idx="194">
                  <c:v>1.7100000000000112E-4</c:v>
                </c:pt>
                <c:pt idx="195">
                  <c:v>1.700000000000011E-4</c:v>
                </c:pt>
                <c:pt idx="196">
                  <c:v>1.690000000000011E-4</c:v>
                </c:pt>
                <c:pt idx="197">
                  <c:v>1.680000000000011E-4</c:v>
                </c:pt>
                <c:pt idx="198">
                  <c:v>1.6700000000000108E-4</c:v>
                </c:pt>
                <c:pt idx="199">
                  <c:v>1.6600000000000108E-4</c:v>
                </c:pt>
                <c:pt idx="200">
                  <c:v>1.6500000000000108E-4</c:v>
                </c:pt>
                <c:pt idx="201">
                  <c:v>1.6400000000000106E-4</c:v>
                </c:pt>
                <c:pt idx="202">
                  <c:v>1.6300000000000106E-4</c:v>
                </c:pt>
                <c:pt idx="203">
                  <c:v>1.6200000000000106E-4</c:v>
                </c:pt>
                <c:pt idx="204">
                  <c:v>1.6100000000000104E-4</c:v>
                </c:pt>
                <c:pt idx="205">
                  <c:v>1.6000000000000104E-4</c:v>
                </c:pt>
                <c:pt idx="206">
                  <c:v>1.5900000000000105E-4</c:v>
                </c:pt>
                <c:pt idx="207">
                  <c:v>1.5800000000000102E-4</c:v>
                </c:pt>
                <c:pt idx="208">
                  <c:v>1.5700000000000102E-4</c:v>
                </c:pt>
                <c:pt idx="209">
                  <c:v>1.5600000000000103E-4</c:v>
                </c:pt>
                <c:pt idx="210">
                  <c:v>1.55000000000001E-4</c:v>
                </c:pt>
                <c:pt idx="211">
                  <c:v>1.5400000000000101E-4</c:v>
                </c:pt>
                <c:pt idx="212">
                  <c:v>1.5300000000000101E-4</c:v>
                </c:pt>
                <c:pt idx="213">
                  <c:v>1.5200000000000098E-4</c:v>
                </c:pt>
                <c:pt idx="214">
                  <c:v>1.5100000000000099E-4</c:v>
                </c:pt>
                <c:pt idx="215">
                  <c:v>1.5000000000000099E-4</c:v>
                </c:pt>
                <c:pt idx="216">
                  <c:v>1.4900000000000097E-4</c:v>
                </c:pt>
                <c:pt idx="217">
                  <c:v>1.4800000000000097E-4</c:v>
                </c:pt>
                <c:pt idx="218">
                  <c:v>1.4700000000000097E-4</c:v>
                </c:pt>
                <c:pt idx="219">
                  <c:v>1.4600000000000095E-4</c:v>
                </c:pt>
                <c:pt idx="220">
                  <c:v>1.4500000000000095E-4</c:v>
                </c:pt>
                <c:pt idx="221">
                  <c:v>1.4400000000000095E-4</c:v>
                </c:pt>
                <c:pt idx="222">
                  <c:v>1.4300000000000093E-4</c:v>
                </c:pt>
                <c:pt idx="223">
                  <c:v>1.4200000000000093E-4</c:v>
                </c:pt>
                <c:pt idx="224">
                  <c:v>1.4100000000000091E-4</c:v>
                </c:pt>
                <c:pt idx="225">
                  <c:v>1.4000000000000091E-4</c:v>
                </c:pt>
                <c:pt idx="226">
                  <c:v>1.3900000000000091E-4</c:v>
                </c:pt>
                <c:pt idx="227">
                  <c:v>1.3800000000000089E-4</c:v>
                </c:pt>
                <c:pt idx="228">
                  <c:v>1.3700000000000089E-4</c:v>
                </c:pt>
                <c:pt idx="229">
                  <c:v>1.3600000000000089E-4</c:v>
                </c:pt>
                <c:pt idx="230">
                  <c:v>1.3500000000000087E-4</c:v>
                </c:pt>
                <c:pt idx="231">
                  <c:v>1.3400000000000087E-4</c:v>
                </c:pt>
                <c:pt idx="232">
                  <c:v>1.3300000000000087E-4</c:v>
                </c:pt>
                <c:pt idx="233">
                  <c:v>1.3200000000000085E-4</c:v>
                </c:pt>
                <c:pt idx="234">
                  <c:v>1.3100000000000085E-4</c:v>
                </c:pt>
                <c:pt idx="235">
                  <c:v>1.3000000000000086E-4</c:v>
                </c:pt>
                <c:pt idx="236">
                  <c:v>1.2900000000000083E-4</c:v>
                </c:pt>
                <c:pt idx="237">
                  <c:v>1.2800000000000083E-4</c:v>
                </c:pt>
                <c:pt idx="238">
                  <c:v>1.2700000000000084E-4</c:v>
                </c:pt>
                <c:pt idx="239">
                  <c:v>1.2600000000000081E-4</c:v>
                </c:pt>
                <c:pt idx="240">
                  <c:v>1.2500000000000082E-4</c:v>
                </c:pt>
                <c:pt idx="241">
                  <c:v>1.2400000000000082E-4</c:v>
                </c:pt>
                <c:pt idx="242">
                  <c:v>1.2300000000000079E-4</c:v>
                </c:pt>
                <c:pt idx="243">
                  <c:v>1.220000000000008E-4</c:v>
                </c:pt>
                <c:pt idx="244">
                  <c:v>1.2100000000000079E-4</c:v>
                </c:pt>
                <c:pt idx="245">
                  <c:v>1.2000000000000078E-4</c:v>
                </c:pt>
                <c:pt idx="246">
                  <c:v>1.1900000000000078E-4</c:v>
                </c:pt>
                <c:pt idx="247">
                  <c:v>1.1800000000000077E-4</c:v>
                </c:pt>
                <c:pt idx="248">
                  <c:v>1.1700000000000076E-4</c:v>
                </c:pt>
                <c:pt idx="249">
                  <c:v>1.1600000000000076E-4</c:v>
                </c:pt>
                <c:pt idx="250">
                  <c:v>1.1500000000000075E-4</c:v>
                </c:pt>
                <c:pt idx="251">
                  <c:v>1.1400000000000074E-4</c:v>
                </c:pt>
                <c:pt idx="252">
                  <c:v>1.1300000000000074E-4</c:v>
                </c:pt>
                <c:pt idx="253">
                  <c:v>1.1200000000000073E-4</c:v>
                </c:pt>
                <c:pt idx="254">
                  <c:v>1.1100000000000072E-4</c:v>
                </c:pt>
                <c:pt idx="255">
                  <c:v>1.1000000000000072E-4</c:v>
                </c:pt>
                <c:pt idx="256">
                  <c:v>1.0900000000000071E-4</c:v>
                </c:pt>
                <c:pt idx="257">
                  <c:v>1.080000000000007E-4</c:v>
                </c:pt>
                <c:pt idx="258">
                  <c:v>1.070000000000007E-4</c:v>
                </c:pt>
                <c:pt idx="259">
                  <c:v>1.0600000000000069E-4</c:v>
                </c:pt>
                <c:pt idx="260">
                  <c:v>1.0500000000000068E-4</c:v>
                </c:pt>
                <c:pt idx="261">
                  <c:v>1.0400000000000068E-4</c:v>
                </c:pt>
                <c:pt idx="262">
                  <c:v>1.0300000000000067E-4</c:v>
                </c:pt>
                <c:pt idx="263">
                  <c:v>1.0200000000000066E-4</c:v>
                </c:pt>
                <c:pt idx="264">
                  <c:v>1.0100000000000065E-4</c:v>
                </c:pt>
                <c:pt idx="265">
                  <c:v>1.0000000000000066E-4</c:v>
                </c:pt>
                <c:pt idx="266">
                  <c:v>9.9000000000000645E-5</c:v>
                </c:pt>
                <c:pt idx="267">
                  <c:v>9.8000000000000634E-5</c:v>
                </c:pt>
                <c:pt idx="268">
                  <c:v>9.7000000000000637E-5</c:v>
                </c:pt>
                <c:pt idx="269">
                  <c:v>9.6000000000000626E-5</c:v>
                </c:pt>
                <c:pt idx="270">
                  <c:v>9.5000000000000615E-5</c:v>
                </c:pt>
                <c:pt idx="271">
                  <c:v>9.4000000000000618E-5</c:v>
                </c:pt>
                <c:pt idx="272">
                  <c:v>9.3000000000000607E-5</c:v>
                </c:pt>
                <c:pt idx="273">
                  <c:v>9.2000000000000596E-5</c:v>
                </c:pt>
                <c:pt idx="274">
                  <c:v>9.1000000000000599E-5</c:v>
                </c:pt>
                <c:pt idx="275">
                  <c:v>9.0000000000000588E-5</c:v>
                </c:pt>
                <c:pt idx="276">
                  <c:v>8.9000000000000578E-5</c:v>
                </c:pt>
                <c:pt idx="277">
                  <c:v>8.8000000000000567E-5</c:v>
                </c:pt>
                <c:pt idx="278">
                  <c:v>8.700000000000057E-5</c:v>
                </c:pt>
                <c:pt idx="279">
                  <c:v>8.6000000000000559E-5</c:v>
                </c:pt>
                <c:pt idx="280">
                  <c:v>8.5000000000000548E-5</c:v>
                </c:pt>
                <c:pt idx="281">
                  <c:v>8.4000000000000551E-5</c:v>
                </c:pt>
                <c:pt idx="282">
                  <c:v>8.300000000000054E-5</c:v>
                </c:pt>
                <c:pt idx="283">
                  <c:v>8.2000000000000529E-5</c:v>
                </c:pt>
                <c:pt idx="284">
                  <c:v>8.1000000000000532E-5</c:v>
                </c:pt>
                <c:pt idx="285">
                  <c:v>8.0000000000000522E-5</c:v>
                </c:pt>
                <c:pt idx="286">
                  <c:v>7.9000000000000511E-5</c:v>
                </c:pt>
                <c:pt idx="287">
                  <c:v>7.8000000000000514E-5</c:v>
                </c:pt>
                <c:pt idx="288">
                  <c:v>7.7000000000000503E-5</c:v>
                </c:pt>
                <c:pt idx="289">
                  <c:v>7.6000000000000492E-5</c:v>
                </c:pt>
                <c:pt idx="290">
                  <c:v>7.5000000000000495E-5</c:v>
                </c:pt>
                <c:pt idx="291">
                  <c:v>7.4000000000000484E-5</c:v>
                </c:pt>
                <c:pt idx="292">
                  <c:v>7.3000000000000473E-5</c:v>
                </c:pt>
                <c:pt idx="293">
                  <c:v>7.2000000000000476E-5</c:v>
                </c:pt>
                <c:pt idx="294">
                  <c:v>7.1000000000000465E-5</c:v>
                </c:pt>
                <c:pt idx="295">
                  <c:v>7.0000000000000455E-5</c:v>
                </c:pt>
                <c:pt idx="296">
                  <c:v>6.9000000000000444E-5</c:v>
                </c:pt>
                <c:pt idx="297">
                  <c:v>6.8000000000000447E-5</c:v>
                </c:pt>
                <c:pt idx="298">
                  <c:v>6.7000000000000436E-5</c:v>
                </c:pt>
                <c:pt idx="299">
                  <c:v>6.6000000000000425E-5</c:v>
                </c:pt>
                <c:pt idx="300">
                  <c:v>6.5000000000000428E-5</c:v>
                </c:pt>
                <c:pt idx="301">
                  <c:v>6.4000000000000417E-5</c:v>
                </c:pt>
                <c:pt idx="302">
                  <c:v>6.3000000000000406E-5</c:v>
                </c:pt>
                <c:pt idx="303">
                  <c:v>6.2000000000000409E-5</c:v>
                </c:pt>
                <c:pt idx="304">
                  <c:v>6.1000000000000399E-5</c:v>
                </c:pt>
                <c:pt idx="305">
                  <c:v>6.0000000000000388E-5</c:v>
                </c:pt>
                <c:pt idx="306">
                  <c:v>5.9000000000000384E-5</c:v>
                </c:pt>
                <c:pt idx="307">
                  <c:v>5.800000000000038E-5</c:v>
                </c:pt>
                <c:pt idx="308">
                  <c:v>5.7000000000000369E-5</c:v>
                </c:pt>
                <c:pt idx="309">
                  <c:v>5.6000000000000365E-5</c:v>
                </c:pt>
                <c:pt idx="310">
                  <c:v>5.5000000000000361E-5</c:v>
                </c:pt>
                <c:pt idx="311">
                  <c:v>5.400000000000035E-5</c:v>
                </c:pt>
                <c:pt idx="312">
                  <c:v>5.3000000000000346E-5</c:v>
                </c:pt>
                <c:pt idx="313">
                  <c:v>5.2000000000000342E-5</c:v>
                </c:pt>
                <c:pt idx="314">
                  <c:v>5.1000000000000332E-5</c:v>
                </c:pt>
                <c:pt idx="315">
                  <c:v>5.0000000000000328E-5</c:v>
                </c:pt>
                <c:pt idx="316">
                  <c:v>4.9000000000000317E-5</c:v>
                </c:pt>
                <c:pt idx="317">
                  <c:v>4.8000000000000313E-5</c:v>
                </c:pt>
                <c:pt idx="318">
                  <c:v>4.7000000000000309E-5</c:v>
                </c:pt>
                <c:pt idx="319">
                  <c:v>4.6000000000000298E-5</c:v>
                </c:pt>
                <c:pt idx="320">
                  <c:v>4.5000000000000294E-5</c:v>
                </c:pt>
                <c:pt idx="321">
                  <c:v>4.4000000000000283E-5</c:v>
                </c:pt>
                <c:pt idx="322">
                  <c:v>4.3000000000000279E-5</c:v>
                </c:pt>
                <c:pt idx="323">
                  <c:v>4.2000000000000276E-5</c:v>
                </c:pt>
                <c:pt idx="324">
                  <c:v>4.1000000000000265E-5</c:v>
                </c:pt>
                <c:pt idx="325">
                  <c:v>4.0000000000000261E-5</c:v>
                </c:pt>
                <c:pt idx="326">
                  <c:v>3.9000000000000257E-5</c:v>
                </c:pt>
                <c:pt idx="327">
                  <c:v>3.8000000000000246E-5</c:v>
                </c:pt>
                <c:pt idx="328">
                  <c:v>3.7000000000000242E-5</c:v>
                </c:pt>
                <c:pt idx="329">
                  <c:v>3.6000000000000238E-5</c:v>
                </c:pt>
                <c:pt idx="330">
                  <c:v>3.5000000000000227E-5</c:v>
                </c:pt>
                <c:pt idx="331">
                  <c:v>3.4000000000000223E-5</c:v>
                </c:pt>
                <c:pt idx="332">
                  <c:v>3.3000000000000213E-5</c:v>
                </c:pt>
                <c:pt idx="333">
                  <c:v>3.2000000000000209E-5</c:v>
                </c:pt>
                <c:pt idx="334">
                  <c:v>3.1000000000000205E-5</c:v>
                </c:pt>
                <c:pt idx="335">
                  <c:v>3.0000000000000194E-5</c:v>
                </c:pt>
                <c:pt idx="336">
                  <c:v>2.900000000000019E-5</c:v>
                </c:pt>
                <c:pt idx="337">
                  <c:v>2.8000000000000183E-5</c:v>
                </c:pt>
                <c:pt idx="338">
                  <c:v>2.7000000000000175E-5</c:v>
                </c:pt>
                <c:pt idx="339">
                  <c:v>2.6000000000000171E-5</c:v>
                </c:pt>
                <c:pt idx="340">
                  <c:v>2.5000000000000164E-5</c:v>
                </c:pt>
                <c:pt idx="341">
                  <c:v>2.4000000000000156E-5</c:v>
                </c:pt>
                <c:pt idx="342">
                  <c:v>2.3000000000000149E-5</c:v>
                </c:pt>
                <c:pt idx="343">
                  <c:v>2.2000000000000142E-5</c:v>
                </c:pt>
                <c:pt idx="344">
                  <c:v>2.1000000000000138E-5</c:v>
                </c:pt>
                <c:pt idx="345">
                  <c:v>2.000000000000013E-5</c:v>
                </c:pt>
                <c:pt idx="346">
                  <c:v>1.9000000000000123E-5</c:v>
                </c:pt>
                <c:pt idx="347">
                  <c:v>1.8000000000000119E-5</c:v>
                </c:pt>
                <c:pt idx="348">
                  <c:v>1.7000000000000112E-5</c:v>
                </c:pt>
                <c:pt idx="349">
                  <c:v>1.6000000000000104E-5</c:v>
                </c:pt>
                <c:pt idx="350">
                  <c:v>1.5000000000000097E-5</c:v>
                </c:pt>
                <c:pt idx="351">
                  <c:v>1.4000000000000091E-5</c:v>
                </c:pt>
                <c:pt idx="352">
                  <c:v>1.3000000000000086E-5</c:v>
                </c:pt>
                <c:pt idx="353">
                  <c:v>1.2000000000000078E-5</c:v>
                </c:pt>
                <c:pt idx="354">
                  <c:v>1.1000000000000071E-5</c:v>
                </c:pt>
                <c:pt idx="355">
                  <c:v>1.0000000000000065E-5</c:v>
                </c:pt>
                <c:pt idx="356">
                  <c:v>9.0000000000000595E-6</c:v>
                </c:pt>
                <c:pt idx="357">
                  <c:v>8.0000000000000522E-6</c:v>
                </c:pt>
                <c:pt idx="358">
                  <c:v>7.0000000000000456E-6</c:v>
                </c:pt>
                <c:pt idx="359">
                  <c:v>6.0000000000000391E-6</c:v>
                </c:pt>
                <c:pt idx="360">
                  <c:v>5.0000000000000326E-6</c:v>
                </c:pt>
                <c:pt idx="361">
                  <c:v>4.0000000000000261E-6</c:v>
                </c:pt>
                <c:pt idx="362">
                  <c:v>3.0000000000000196E-6</c:v>
                </c:pt>
                <c:pt idx="363">
                  <c:v>2.000000000000013E-6</c:v>
                </c:pt>
                <c:pt idx="364">
                  <c:v>1.0000000000000065E-6</c:v>
                </c:pt>
              </c:numCache>
            </c:numRef>
          </c:val>
          <c:extLst>
            <c:ext xmlns:c16="http://schemas.microsoft.com/office/drawing/2014/chart" uri="{C3380CC4-5D6E-409C-BE32-E72D297353CC}">
              <c16:uniqueId val="{00000008-847B-4C41-94B0-4B0E49579292}"/>
            </c:ext>
          </c:extLst>
        </c:ser>
        <c:ser>
          <c:idx val="5"/>
          <c:order val="3"/>
          <c:tx>
            <c:strRef>
              <c:f>'JSM FW Dreieck'!$Z$17</c:f>
              <c:strCache>
                <c:ptCount val="1"/>
                <c:pt idx="0">
                  <c:v>Frischwasser</c:v>
                </c:pt>
              </c:strCache>
            </c:strRef>
          </c:tx>
          <c:spPr>
            <a:solidFill>
              <a:schemeClr val="tx2">
                <a:lumMod val="60000"/>
                <a:lumOff val="40000"/>
              </a:schemeClr>
            </a:solidFill>
            <a:ln w="47625">
              <a:solidFill>
                <a:schemeClr val="tx2">
                  <a:lumMod val="60000"/>
                  <a:lumOff val="40000"/>
                </a:schemeClr>
              </a:solidFill>
            </a:ln>
          </c:spPr>
          <c:invertIfNegative val="0"/>
          <c:trendline>
            <c:trendlineType val="linear"/>
            <c:dispRSqr val="0"/>
            <c:dispEq val="0"/>
          </c:trendline>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Dreieck'!$Z$18:$Z$382</c:f>
              <c:numCache>
                <c:formatCode>General</c:formatCode>
                <c:ptCount val="365"/>
                <c:pt idx="1">
                  <c:v>0</c:v>
                </c:pt>
                <c:pt idx="6">
                  <c:v>0</c:v>
                </c:pt>
                <c:pt idx="11">
                  <c:v>0</c:v>
                </c:pt>
                <c:pt idx="16">
                  <c:v>0</c:v>
                </c:pt>
                <c:pt idx="21">
                  <c:v>0</c:v>
                </c:pt>
                <c:pt idx="26">
                  <c:v>0</c:v>
                </c:pt>
                <c:pt idx="31">
                  <c:v>0</c:v>
                </c:pt>
                <c:pt idx="36">
                  <c:v>0</c:v>
                </c:pt>
                <c:pt idx="41">
                  <c:v>0</c:v>
                </c:pt>
                <c:pt idx="46">
                  <c:v>0</c:v>
                </c:pt>
                <c:pt idx="51">
                  <c:v>0</c:v>
                </c:pt>
                <c:pt idx="56">
                  <c:v>0</c:v>
                </c:pt>
                <c:pt idx="61">
                  <c:v>0</c:v>
                </c:pt>
                <c:pt idx="66">
                  <c:v>0</c:v>
                </c:pt>
                <c:pt idx="71">
                  <c:v>0</c:v>
                </c:pt>
                <c:pt idx="76">
                  <c:v>0</c:v>
                </c:pt>
                <c:pt idx="81">
                  <c:v>0</c:v>
                </c:pt>
                <c:pt idx="86">
                  <c:v>0</c:v>
                </c:pt>
                <c:pt idx="91">
                  <c:v>0</c:v>
                </c:pt>
                <c:pt idx="96">
                  <c:v>0</c:v>
                </c:pt>
                <c:pt idx="101">
                  <c:v>0</c:v>
                </c:pt>
                <c:pt idx="106">
                  <c:v>0</c:v>
                </c:pt>
                <c:pt idx="111">
                  <c:v>0</c:v>
                </c:pt>
                <c:pt idx="116">
                  <c:v>0</c:v>
                </c:pt>
                <c:pt idx="121">
                  <c:v>0</c:v>
                </c:pt>
                <c:pt idx="126">
                  <c:v>0</c:v>
                </c:pt>
                <c:pt idx="131">
                  <c:v>0</c:v>
                </c:pt>
                <c:pt idx="136">
                  <c:v>0</c:v>
                </c:pt>
                <c:pt idx="141">
                  <c:v>0</c:v>
                </c:pt>
                <c:pt idx="146">
                  <c:v>0</c:v>
                </c:pt>
                <c:pt idx="152">
                  <c:v>0</c:v>
                </c:pt>
                <c:pt idx="157">
                  <c:v>0</c:v>
                </c:pt>
                <c:pt idx="162">
                  <c:v>0</c:v>
                </c:pt>
                <c:pt idx="167">
                  <c:v>0</c:v>
                </c:pt>
                <c:pt idx="172">
                  <c:v>0</c:v>
                </c:pt>
                <c:pt idx="177">
                  <c:v>0</c:v>
                </c:pt>
                <c:pt idx="182">
                  <c:v>0</c:v>
                </c:pt>
                <c:pt idx="187">
                  <c:v>0</c:v>
                </c:pt>
                <c:pt idx="192">
                  <c:v>0</c:v>
                </c:pt>
                <c:pt idx="197">
                  <c:v>0</c:v>
                </c:pt>
                <c:pt idx="202">
                  <c:v>0</c:v>
                </c:pt>
                <c:pt idx="207">
                  <c:v>0</c:v>
                </c:pt>
                <c:pt idx="212">
                  <c:v>0</c:v>
                </c:pt>
                <c:pt idx="217">
                  <c:v>0</c:v>
                </c:pt>
                <c:pt idx="222">
                  <c:v>0</c:v>
                </c:pt>
                <c:pt idx="227">
                  <c:v>0</c:v>
                </c:pt>
                <c:pt idx="232">
                  <c:v>0</c:v>
                </c:pt>
                <c:pt idx="237">
                  <c:v>0</c:v>
                </c:pt>
                <c:pt idx="242">
                  <c:v>0</c:v>
                </c:pt>
                <c:pt idx="247">
                  <c:v>0</c:v>
                </c:pt>
                <c:pt idx="252">
                  <c:v>0</c:v>
                </c:pt>
                <c:pt idx="257">
                  <c:v>0</c:v>
                </c:pt>
                <c:pt idx="262">
                  <c:v>0</c:v>
                </c:pt>
                <c:pt idx="267">
                  <c:v>0</c:v>
                </c:pt>
                <c:pt idx="272">
                  <c:v>0</c:v>
                </c:pt>
                <c:pt idx="277">
                  <c:v>0</c:v>
                </c:pt>
                <c:pt idx="282">
                  <c:v>0</c:v>
                </c:pt>
                <c:pt idx="287">
                  <c:v>0</c:v>
                </c:pt>
                <c:pt idx="292">
                  <c:v>0</c:v>
                </c:pt>
                <c:pt idx="297">
                  <c:v>0</c:v>
                </c:pt>
                <c:pt idx="302">
                  <c:v>0</c:v>
                </c:pt>
                <c:pt idx="307">
                  <c:v>0</c:v>
                </c:pt>
                <c:pt idx="312">
                  <c:v>0</c:v>
                </c:pt>
                <c:pt idx="317">
                  <c:v>0</c:v>
                </c:pt>
                <c:pt idx="322">
                  <c:v>0</c:v>
                </c:pt>
                <c:pt idx="327">
                  <c:v>0</c:v>
                </c:pt>
                <c:pt idx="332">
                  <c:v>0</c:v>
                </c:pt>
                <c:pt idx="337">
                  <c:v>0</c:v>
                </c:pt>
                <c:pt idx="342">
                  <c:v>0</c:v>
                </c:pt>
                <c:pt idx="347">
                  <c:v>0</c:v>
                </c:pt>
                <c:pt idx="352">
                  <c:v>0</c:v>
                </c:pt>
                <c:pt idx="357">
                  <c:v>0</c:v>
                </c:pt>
                <c:pt idx="362">
                  <c:v>0</c:v>
                </c:pt>
              </c:numCache>
            </c:numRef>
          </c:val>
          <c:extLst>
            <c:ext xmlns:c16="http://schemas.microsoft.com/office/drawing/2014/chart" uri="{C3380CC4-5D6E-409C-BE32-E72D297353CC}">
              <c16:uniqueId val="{0000000A-847B-4C41-94B0-4B0E49579292}"/>
            </c:ext>
          </c:extLst>
        </c:ser>
        <c:ser>
          <c:idx val="6"/>
          <c:order val="4"/>
          <c:tx>
            <c:strRef>
              <c:f>'JSM FW Dreieck'!$AA$17</c:f>
              <c:strCache>
                <c:ptCount val="1"/>
              </c:strCache>
            </c:strRef>
          </c:tx>
          <c:invertIfNegative val="0"/>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Dreieck'!$AA$18:$AA$382</c:f>
              <c:numCache>
                <c:formatCode>General</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20">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B-847B-4C41-94B0-4B0E49579292}"/>
            </c:ext>
          </c:extLst>
        </c:ser>
        <c:dLbls>
          <c:showLegendKey val="0"/>
          <c:showVal val="0"/>
          <c:showCatName val="0"/>
          <c:showSerName val="0"/>
          <c:showPercent val="0"/>
          <c:showBubbleSize val="0"/>
        </c:dLbls>
        <c:gapWidth val="0"/>
        <c:overlap val="-100"/>
        <c:axId val="392304928"/>
        <c:axId val="392306888"/>
      </c:barChart>
      <c:catAx>
        <c:axId val="392304928"/>
        <c:scaling>
          <c:orientation val="minMax"/>
        </c:scaling>
        <c:delete val="0"/>
        <c:axPos val="b"/>
        <c:numFmt formatCode="0"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de-DE"/>
          </a:p>
        </c:txPr>
        <c:crossAx val="392306888"/>
        <c:crosses val="autoZero"/>
        <c:auto val="1"/>
        <c:lblAlgn val="ctr"/>
        <c:lblOffset val="100"/>
        <c:noMultiLvlLbl val="0"/>
      </c:catAx>
      <c:valAx>
        <c:axId val="39230688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e-DE"/>
          </a:p>
        </c:txPr>
        <c:crossAx val="39230492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428625</xdr:colOff>
      <xdr:row>0</xdr:row>
      <xdr:rowOff>1</xdr:rowOff>
    </xdr:from>
    <xdr:to>
      <xdr:col>24</xdr:col>
      <xdr:colOff>476250</xdr:colOff>
      <xdr:row>4</xdr:row>
      <xdr:rowOff>269876</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1811000" y="1"/>
          <a:ext cx="431800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de-DE"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190500</xdr:colOff>
      <xdr:row>11</xdr:row>
      <xdr:rowOff>63499</xdr:rowOff>
    </xdr:from>
    <xdr:ext cx="4381500" cy="1926167"/>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2942167" y="1756832"/>
          <a:ext cx="4381500" cy="192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endParaRPr lang="de-DE" sz="1100"/>
        </a:p>
      </xdr:txBody>
    </xdr:sp>
    <xdr:clientData/>
  </xdr:oneCellAnchor>
  <xdr:twoCellAnchor>
    <xdr:from>
      <xdr:col>4</xdr:col>
      <xdr:colOff>381000</xdr:colOff>
      <xdr:row>11</xdr:row>
      <xdr:rowOff>171450</xdr:rowOff>
    </xdr:from>
    <xdr:to>
      <xdr:col>11</xdr:col>
      <xdr:colOff>209550</xdr:colOff>
      <xdr:row>21</xdr:row>
      <xdr:rowOff>66675</xdr:rowOff>
    </xdr:to>
    <xdr:graphicFrame macro="">
      <xdr:nvGraphicFramePr>
        <xdr:cNvPr id="4172" name="Chart 1">
          <a:extLst>
            <a:ext uri="{FF2B5EF4-FFF2-40B4-BE49-F238E27FC236}">
              <a16:creationId xmlns:a16="http://schemas.microsoft.com/office/drawing/2014/main" id="{00000000-0008-0000-0100-00004C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21</xdr:row>
      <xdr:rowOff>133350</xdr:rowOff>
    </xdr:from>
    <xdr:to>
      <xdr:col>15</xdr:col>
      <xdr:colOff>19050</xdr:colOff>
      <xdr:row>43</xdr:row>
      <xdr:rowOff>19050</xdr:rowOff>
    </xdr:to>
    <xdr:graphicFrame macro="">
      <xdr:nvGraphicFramePr>
        <xdr:cNvPr id="70705" name="Chart 5">
          <a:extLst>
            <a:ext uri="{FF2B5EF4-FFF2-40B4-BE49-F238E27FC236}">
              <a16:creationId xmlns:a16="http://schemas.microsoft.com/office/drawing/2014/main" id="{00000000-0008-0000-0200-00003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390525</xdr:colOff>
      <xdr:row>11</xdr:row>
      <xdr:rowOff>104775</xdr:rowOff>
    </xdr:from>
    <xdr:to>
      <xdr:col>17</xdr:col>
      <xdr:colOff>0</xdr:colOff>
      <xdr:row>31</xdr:row>
      <xdr:rowOff>0</xdr:rowOff>
    </xdr:to>
    <xdr:graphicFrame macro="">
      <xdr:nvGraphicFramePr>
        <xdr:cNvPr id="47520" name="Chart 8">
          <a:extLst>
            <a:ext uri="{FF2B5EF4-FFF2-40B4-BE49-F238E27FC236}">
              <a16:creationId xmlns:a16="http://schemas.microsoft.com/office/drawing/2014/main" id="{00000000-0008-0000-0300-0000A0B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47625</xdr:colOff>
      <xdr:row>11</xdr:row>
      <xdr:rowOff>19050</xdr:rowOff>
    </xdr:from>
    <xdr:to>
      <xdr:col>16</xdr:col>
      <xdr:colOff>1047750</xdr:colOff>
      <xdr:row>30</xdr:row>
      <xdr:rowOff>161925</xdr:rowOff>
    </xdr:to>
    <xdr:graphicFrame macro="">
      <xdr:nvGraphicFramePr>
        <xdr:cNvPr id="403632" name="Diagramm 3">
          <a:extLst>
            <a:ext uri="{FF2B5EF4-FFF2-40B4-BE49-F238E27FC236}">
              <a16:creationId xmlns:a16="http://schemas.microsoft.com/office/drawing/2014/main" id="{00000000-0008-0000-0400-0000B02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85</xdr:row>
      <xdr:rowOff>57150</xdr:rowOff>
    </xdr:from>
    <xdr:to>
      <xdr:col>6</xdr:col>
      <xdr:colOff>219075</xdr:colOff>
      <xdr:row>99</xdr:row>
      <xdr:rowOff>142875</xdr:rowOff>
    </xdr:to>
    <xdr:pic>
      <xdr:nvPicPr>
        <xdr:cNvPr id="55667" name="Picture 21">
          <a:extLst>
            <a:ext uri="{FF2B5EF4-FFF2-40B4-BE49-F238E27FC236}">
              <a16:creationId xmlns:a16="http://schemas.microsoft.com/office/drawing/2014/main" id="{00000000-0008-0000-0500-000073D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0810875"/>
          <a:ext cx="5181600" cy="0"/>
        </a:xfrm>
        <a:prstGeom prst="rect">
          <a:avLst/>
        </a:prstGeom>
        <a:noFill/>
        <a:ln w="9525">
          <a:noFill/>
          <a:miter lim="800000"/>
          <a:headEnd/>
          <a:tailEnd/>
        </a:ln>
      </xdr:spPr>
    </xdr:pic>
    <xdr:clientData/>
  </xdr:twoCellAnchor>
  <xdr:twoCellAnchor>
    <xdr:from>
      <xdr:col>1</xdr:col>
      <xdr:colOff>171450</xdr:colOff>
      <xdr:row>67</xdr:row>
      <xdr:rowOff>142875</xdr:rowOff>
    </xdr:from>
    <xdr:to>
      <xdr:col>5</xdr:col>
      <xdr:colOff>352425</xdr:colOff>
      <xdr:row>80</xdr:row>
      <xdr:rowOff>66675</xdr:rowOff>
    </xdr:to>
    <xdr:pic>
      <xdr:nvPicPr>
        <xdr:cNvPr id="55668" name="Picture 35">
          <a:extLst>
            <a:ext uri="{FF2B5EF4-FFF2-40B4-BE49-F238E27FC236}">
              <a16:creationId xmlns:a16="http://schemas.microsoft.com/office/drawing/2014/main" id="{00000000-0008-0000-0500-000074D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575" y="10258425"/>
          <a:ext cx="4200525"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123825</xdr:colOff>
      <xdr:row>75</xdr:row>
      <xdr:rowOff>9525</xdr:rowOff>
    </xdr:from>
    <xdr:to>
      <xdr:col>11</xdr:col>
      <xdr:colOff>9525</xdr:colOff>
      <xdr:row>75</xdr:row>
      <xdr:rowOff>161925</xdr:rowOff>
    </xdr:to>
    <xdr:sp macro="" textlink="">
      <xdr:nvSpPr>
        <xdr:cNvPr id="604442" name="AutoShape 39">
          <a:extLst>
            <a:ext uri="{FF2B5EF4-FFF2-40B4-BE49-F238E27FC236}">
              <a16:creationId xmlns:a16="http://schemas.microsoft.com/office/drawing/2014/main" id="{00000000-0008-0000-0600-00001A390900}"/>
            </a:ext>
          </a:extLst>
        </xdr:cNvPr>
        <xdr:cNvSpPr>
          <a:spLocks noChangeArrowheads="1"/>
        </xdr:cNvSpPr>
      </xdr:nvSpPr>
      <xdr:spPr bwMode="auto">
        <a:xfrm>
          <a:off x="7743825"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10</xdr:col>
      <xdr:colOff>133350</xdr:colOff>
      <xdr:row>70</xdr:row>
      <xdr:rowOff>47625</xdr:rowOff>
    </xdr:from>
    <xdr:to>
      <xdr:col>11</xdr:col>
      <xdr:colOff>19050</xdr:colOff>
      <xdr:row>70</xdr:row>
      <xdr:rowOff>190500</xdr:rowOff>
    </xdr:to>
    <xdr:sp macro="" textlink="">
      <xdr:nvSpPr>
        <xdr:cNvPr id="604443" name="AutoShape 83">
          <a:extLst>
            <a:ext uri="{FF2B5EF4-FFF2-40B4-BE49-F238E27FC236}">
              <a16:creationId xmlns:a16="http://schemas.microsoft.com/office/drawing/2014/main" id="{00000000-0008-0000-0600-00001B390900}"/>
            </a:ext>
          </a:extLst>
        </xdr:cNvPr>
        <xdr:cNvSpPr>
          <a:spLocks noChangeArrowheads="1"/>
        </xdr:cNvSpPr>
      </xdr:nvSpPr>
      <xdr:spPr bwMode="auto">
        <a:xfrm>
          <a:off x="7753350"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10</xdr:col>
      <xdr:colOff>114300</xdr:colOff>
      <xdr:row>71</xdr:row>
      <xdr:rowOff>38100</xdr:rowOff>
    </xdr:from>
    <xdr:to>
      <xdr:col>11</xdr:col>
      <xdr:colOff>0</xdr:colOff>
      <xdr:row>71</xdr:row>
      <xdr:rowOff>180975</xdr:rowOff>
    </xdr:to>
    <xdr:sp macro="" textlink="">
      <xdr:nvSpPr>
        <xdr:cNvPr id="604444" name="AutoShape 84">
          <a:extLst>
            <a:ext uri="{FF2B5EF4-FFF2-40B4-BE49-F238E27FC236}">
              <a16:creationId xmlns:a16="http://schemas.microsoft.com/office/drawing/2014/main" id="{00000000-0008-0000-0600-00001C390900}"/>
            </a:ext>
          </a:extLst>
        </xdr:cNvPr>
        <xdr:cNvSpPr>
          <a:spLocks noChangeArrowheads="1"/>
        </xdr:cNvSpPr>
      </xdr:nvSpPr>
      <xdr:spPr bwMode="auto">
        <a:xfrm>
          <a:off x="7734300"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10</xdr:col>
      <xdr:colOff>114300</xdr:colOff>
      <xdr:row>71</xdr:row>
      <xdr:rowOff>38100</xdr:rowOff>
    </xdr:from>
    <xdr:to>
      <xdr:col>11</xdr:col>
      <xdr:colOff>0</xdr:colOff>
      <xdr:row>71</xdr:row>
      <xdr:rowOff>180975</xdr:rowOff>
    </xdr:to>
    <xdr:sp macro="" textlink="">
      <xdr:nvSpPr>
        <xdr:cNvPr id="604445" name="AutoShape 85">
          <a:extLst>
            <a:ext uri="{FF2B5EF4-FFF2-40B4-BE49-F238E27FC236}">
              <a16:creationId xmlns:a16="http://schemas.microsoft.com/office/drawing/2014/main" id="{00000000-0008-0000-0600-00001D390900}"/>
            </a:ext>
          </a:extLst>
        </xdr:cNvPr>
        <xdr:cNvSpPr>
          <a:spLocks noChangeArrowheads="1"/>
        </xdr:cNvSpPr>
      </xdr:nvSpPr>
      <xdr:spPr bwMode="auto">
        <a:xfrm>
          <a:off x="7734300"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7</xdr:col>
      <xdr:colOff>457200</xdr:colOff>
      <xdr:row>98</xdr:row>
      <xdr:rowOff>57150</xdr:rowOff>
    </xdr:from>
    <xdr:to>
      <xdr:col>11</xdr:col>
      <xdr:colOff>161925</xdr:colOff>
      <xdr:row>100</xdr:row>
      <xdr:rowOff>9525</xdr:rowOff>
    </xdr:to>
    <xdr:sp macro="" textlink="">
      <xdr:nvSpPr>
        <xdr:cNvPr id="604446" name="AutoShape 92">
          <a:extLst>
            <a:ext uri="{FF2B5EF4-FFF2-40B4-BE49-F238E27FC236}">
              <a16:creationId xmlns:a16="http://schemas.microsoft.com/office/drawing/2014/main" id="{00000000-0008-0000-0600-00001E390900}"/>
            </a:ext>
          </a:extLst>
        </xdr:cNvPr>
        <xdr:cNvSpPr>
          <a:spLocks/>
        </xdr:cNvSpPr>
      </xdr:nvSpPr>
      <xdr:spPr bwMode="auto">
        <a:xfrm rot="5414994">
          <a:off x="6834188" y="9767887"/>
          <a:ext cx="0" cy="2352675"/>
        </a:xfrm>
        <a:prstGeom prst="rightBrace">
          <a:avLst>
            <a:gd name="adj1" fmla="val -2147483648"/>
            <a:gd name="adj2" fmla="val 50083"/>
          </a:avLst>
        </a:prstGeom>
        <a:noFill/>
        <a:ln w="9525">
          <a:solidFill>
            <a:srgbClr val="000000"/>
          </a:solidFill>
          <a:round/>
          <a:headEnd/>
          <a:tailEnd/>
        </a:ln>
      </xdr:spPr>
    </xdr:sp>
    <xdr:clientData/>
  </xdr:twoCellAnchor>
  <xdr:twoCellAnchor>
    <xdr:from>
      <xdr:col>8</xdr:col>
      <xdr:colOff>581025</xdr:colOff>
      <xdr:row>90</xdr:row>
      <xdr:rowOff>0</xdr:rowOff>
    </xdr:from>
    <xdr:to>
      <xdr:col>8</xdr:col>
      <xdr:colOff>581025</xdr:colOff>
      <xdr:row>98</xdr:row>
      <xdr:rowOff>133350</xdr:rowOff>
    </xdr:to>
    <xdr:sp macro="" textlink="">
      <xdr:nvSpPr>
        <xdr:cNvPr id="604447" name="Line 93">
          <a:extLst>
            <a:ext uri="{FF2B5EF4-FFF2-40B4-BE49-F238E27FC236}">
              <a16:creationId xmlns:a16="http://schemas.microsoft.com/office/drawing/2014/main" id="{00000000-0008-0000-0600-00001F390900}"/>
            </a:ext>
          </a:extLst>
        </xdr:cNvPr>
        <xdr:cNvSpPr>
          <a:spLocks noChangeShapeType="1"/>
        </xdr:cNvSpPr>
      </xdr:nvSpPr>
      <xdr:spPr bwMode="auto">
        <a:xfrm>
          <a:off x="6762750" y="10944225"/>
          <a:ext cx="0" cy="0"/>
        </a:xfrm>
        <a:prstGeom prst="line">
          <a:avLst/>
        </a:prstGeom>
        <a:noFill/>
        <a:ln w="9525">
          <a:solidFill>
            <a:srgbClr val="000000"/>
          </a:solidFill>
          <a:round/>
          <a:headEnd/>
          <a:tailEnd type="triangle" w="med" len="med"/>
        </a:ln>
      </xdr:spPr>
    </xdr:sp>
    <xdr:clientData/>
  </xdr:twoCellAnchor>
  <xdr:twoCellAnchor>
    <xdr:from>
      <xdr:col>10</xdr:col>
      <xdr:colOff>9525</xdr:colOff>
      <xdr:row>106</xdr:row>
      <xdr:rowOff>9525</xdr:rowOff>
    </xdr:from>
    <xdr:to>
      <xdr:col>13</xdr:col>
      <xdr:colOff>381000</xdr:colOff>
      <xdr:row>115</xdr:row>
      <xdr:rowOff>200025</xdr:rowOff>
    </xdr:to>
    <xdr:sp macro="" textlink="">
      <xdr:nvSpPr>
        <xdr:cNvPr id="604448" name="Line 94">
          <a:extLst>
            <a:ext uri="{FF2B5EF4-FFF2-40B4-BE49-F238E27FC236}">
              <a16:creationId xmlns:a16="http://schemas.microsoft.com/office/drawing/2014/main" id="{00000000-0008-0000-0600-000020390900}"/>
            </a:ext>
          </a:extLst>
        </xdr:cNvPr>
        <xdr:cNvSpPr>
          <a:spLocks noChangeShapeType="1"/>
        </xdr:cNvSpPr>
      </xdr:nvSpPr>
      <xdr:spPr bwMode="auto">
        <a:xfrm flipH="1" flipV="1">
          <a:off x="7629525" y="10944225"/>
          <a:ext cx="1276350" cy="0"/>
        </a:xfrm>
        <a:prstGeom prst="line">
          <a:avLst/>
        </a:prstGeom>
        <a:noFill/>
        <a:ln w="9525">
          <a:solidFill>
            <a:srgbClr val="000000"/>
          </a:solidFill>
          <a:round/>
          <a:headEnd/>
          <a:tailEnd type="triangle" w="med" len="med"/>
        </a:ln>
      </xdr:spPr>
    </xdr:sp>
    <xdr:clientData/>
  </xdr:twoCellAnchor>
  <xdr:twoCellAnchor>
    <xdr:from>
      <xdr:col>8</xdr:col>
      <xdr:colOff>647700</xdr:colOff>
      <xdr:row>100</xdr:row>
      <xdr:rowOff>19050</xdr:rowOff>
    </xdr:from>
    <xdr:to>
      <xdr:col>8</xdr:col>
      <xdr:colOff>647700</xdr:colOff>
      <xdr:row>102</xdr:row>
      <xdr:rowOff>19050</xdr:rowOff>
    </xdr:to>
    <xdr:sp macro="" textlink="">
      <xdr:nvSpPr>
        <xdr:cNvPr id="604449" name="Line 95">
          <a:extLst>
            <a:ext uri="{FF2B5EF4-FFF2-40B4-BE49-F238E27FC236}">
              <a16:creationId xmlns:a16="http://schemas.microsoft.com/office/drawing/2014/main" id="{00000000-0008-0000-0600-000021390900}"/>
            </a:ext>
          </a:extLst>
        </xdr:cNvPr>
        <xdr:cNvSpPr>
          <a:spLocks noChangeShapeType="1"/>
        </xdr:cNvSpPr>
      </xdr:nvSpPr>
      <xdr:spPr bwMode="auto">
        <a:xfrm>
          <a:off x="6829425" y="10944225"/>
          <a:ext cx="0" cy="0"/>
        </a:xfrm>
        <a:prstGeom prst="line">
          <a:avLst/>
        </a:prstGeom>
        <a:noFill/>
        <a:ln w="9525">
          <a:solidFill>
            <a:srgbClr val="000000"/>
          </a:solidFill>
          <a:round/>
          <a:headEnd/>
          <a:tailEnd type="triangle" w="med" len="med"/>
        </a:ln>
      </xdr:spPr>
    </xdr:sp>
    <xdr:clientData/>
  </xdr:twoCellAnchor>
  <xdr:twoCellAnchor>
    <xdr:from>
      <xdr:col>7</xdr:col>
      <xdr:colOff>676275</xdr:colOff>
      <xdr:row>105</xdr:row>
      <xdr:rowOff>123825</xdr:rowOff>
    </xdr:from>
    <xdr:to>
      <xdr:col>7</xdr:col>
      <xdr:colOff>952500</xdr:colOff>
      <xdr:row>105</xdr:row>
      <xdr:rowOff>114300</xdr:rowOff>
    </xdr:to>
    <xdr:sp macro="" textlink="">
      <xdr:nvSpPr>
        <xdr:cNvPr id="604450" name="Line 115">
          <a:extLst>
            <a:ext uri="{FF2B5EF4-FFF2-40B4-BE49-F238E27FC236}">
              <a16:creationId xmlns:a16="http://schemas.microsoft.com/office/drawing/2014/main" id="{00000000-0008-0000-0600-000022390900}"/>
            </a:ext>
          </a:extLst>
        </xdr:cNvPr>
        <xdr:cNvSpPr>
          <a:spLocks noChangeShapeType="1"/>
        </xdr:cNvSpPr>
      </xdr:nvSpPr>
      <xdr:spPr bwMode="auto">
        <a:xfrm>
          <a:off x="5876925" y="10944225"/>
          <a:ext cx="27622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www3.chamaeleon.de/klaeranlagen/klaeranlagen.phtm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B2:D11"/>
  <sheetViews>
    <sheetView workbookViewId="0">
      <selection activeCell="C20" sqref="C20:D20"/>
    </sheetView>
  </sheetViews>
  <sheetFormatPr baseColWidth="10" defaultColWidth="11" defaultRowHeight="15" x14ac:dyDescent="0.25"/>
  <cols>
    <col min="1" max="1" width="11" style="822"/>
    <col min="2" max="2" width="44.5703125" style="823" customWidth="1"/>
    <col min="3" max="3" width="22.5703125" style="823" bestFit="1" customWidth="1"/>
    <col min="4" max="4" width="30" style="823" customWidth="1"/>
    <col min="5" max="16384" width="11" style="822"/>
  </cols>
  <sheetData>
    <row r="2" spans="2:4" x14ac:dyDescent="0.25">
      <c r="B2" s="824" t="s">
        <v>357</v>
      </c>
      <c r="C2" s="825" t="s">
        <v>361</v>
      </c>
      <c r="D2" s="824" t="s">
        <v>362</v>
      </c>
    </row>
    <row r="3" spans="2:4" x14ac:dyDescent="0.25">
      <c r="B3" s="824" t="s">
        <v>358</v>
      </c>
      <c r="C3" s="825" t="s">
        <v>363</v>
      </c>
      <c r="D3" s="824" t="s">
        <v>363</v>
      </c>
    </row>
    <row r="4" spans="2:4" x14ac:dyDescent="0.25">
      <c r="B4" s="824" t="s">
        <v>364</v>
      </c>
      <c r="C4" s="825" t="s">
        <v>365</v>
      </c>
      <c r="D4" s="824" t="s">
        <v>365</v>
      </c>
    </row>
    <row r="5" spans="2:4" ht="30" x14ac:dyDescent="0.25">
      <c r="B5" s="826" t="s">
        <v>366</v>
      </c>
      <c r="C5" s="825" t="s">
        <v>367</v>
      </c>
      <c r="D5" s="827" t="s">
        <v>359</v>
      </c>
    </row>
    <row r="6" spans="2:4" ht="30" x14ac:dyDescent="0.25">
      <c r="B6" s="824" t="s">
        <v>360</v>
      </c>
      <c r="C6" s="825" t="s">
        <v>368</v>
      </c>
      <c r="D6" s="824" t="s">
        <v>367</v>
      </c>
    </row>
    <row r="7" spans="2:4" ht="30" x14ac:dyDescent="0.25">
      <c r="B7" s="824" t="s">
        <v>369</v>
      </c>
      <c r="C7" s="825" t="s">
        <v>370</v>
      </c>
      <c r="D7" s="824" t="s">
        <v>371</v>
      </c>
    </row>
    <row r="8" spans="2:4" ht="30" x14ac:dyDescent="0.25">
      <c r="B8" s="824" t="s">
        <v>372</v>
      </c>
      <c r="C8" s="825" t="s">
        <v>373</v>
      </c>
      <c r="D8" s="826" t="s">
        <v>374</v>
      </c>
    </row>
    <row r="9" spans="2:4" ht="30" x14ac:dyDescent="0.25">
      <c r="B9" s="824" t="s">
        <v>375</v>
      </c>
    </row>
    <row r="10" spans="2:4" ht="30" x14ac:dyDescent="0.25">
      <c r="B10" s="826" t="s">
        <v>376</v>
      </c>
    </row>
    <row r="11" spans="2:4" ht="30" x14ac:dyDescent="0.25">
      <c r="B11" s="824" t="s">
        <v>377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9"/>
  <sheetViews>
    <sheetView tabSelected="1" topLeftCell="C1" workbookViewId="0">
      <selection activeCell="F35" sqref="F35"/>
    </sheetView>
  </sheetViews>
  <sheetFormatPr baseColWidth="10" defaultRowHeight="12.75" x14ac:dyDescent="0.2"/>
  <cols>
    <col min="1" max="1" width="4.7109375" hidden="1" customWidth="1"/>
    <col min="2" max="2" width="7.5703125" hidden="1" customWidth="1"/>
    <col min="3" max="3" width="19.28515625" bestFit="1" customWidth="1"/>
    <col min="4" max="4" width="15.140625" bestFit="1" customWidth="1"/>
    <col min="5" max="5" width="20.7109375" customWidth="1"/>
  </cols>
  <sheetData>
    <row r="1" spans="1:13" ht="23.25" x14ac:dyDescent="0.2">
      <c r="A1" t="s">
        <v>383</v>
      </c>
      <c r="B1" t="s">
        <v>384</v>
      </c>
      <c r="C1" s="836" t="s">
        <v>228</v>
      </c>
      <c r="D1" s="837"/>
      <c r="E1" s="842" t="str">
        <f>IF(LEN('JSM Eingabe+TW'!D7)&gt;0,'JSM Eingabe+TW'!D7,"")</f>
        <v>Mainz</v>
      </c>
      <c r="F1" s="842"/>
      <c r="G1" s="842"/>
      <c r="H1" s="842"/>
      <c r="I1" s="842"/>
      <c r="J1" s="842"/>
    </row>
    <row r="2" spans="1:13" x14ac:dyDescent="0.2">
      <c r="M2" s="839"/>
    </row>
    <row r="3" spans="1:13" x14ac:dyDescent="0.2">
      <c r="C3" s="838" t="s">
        <v>381</v>
      </c>
      <c r="D3" s="838" t="s">
        <v>118</v>
      </c>
      <c r="E3" s="838" t="s">
        <v>382</v>
      </c>
    </row>
    <row r="4" spans="1:13" x14ac:dyDescent="0.2">
      <c r="A4" s="212">
        <v>1</v>
      </c>
      <c r="B4" s="212">
        <v>1</v>
      </c>
      <c r="C4" s="840">
        <f>DATE('JSM Eingabe+TW'!$AB$7,$B4,$A4)</f>
        <v>1</v>
      </c>
      <c r="D4" s="212" t="str">
        <f>IF(LEN('JSM Eingabe+TW'!$D32)&gt;0,'JSM Eingabe+TW'!$D32,"")</f>
        <v/>
      </c>
      <c r="E4" s="841" t="str">
        <f>IF(LEN('JSM Eingabe+TW'!$E32)&gt;0,'JSM Eingabe+TW'!$E32,"")</f>
        <v/>
      </c>
    </row>
    <row r="5" spans="1:13" x14ac:dyDescent="0.2">
      <c r="A5" s="212">
        <v>2</v>
      </c>
      <c r="B5" s="212">
        <v>1</v>
      </c>
      <c r="C5" s="840">
        <f>DATE('JSM Eingabe+TW'!$AB$7,$B5,$A5)</f>
        <v>2</v>
      </c>
      <c r="D5" s="212" t="str">
        <f>IF(LEN('JSM Eingabe+TW'!$D33)&gt;0,'JSM Eingabe+TW'!$D33,"")</f>
        <v/>
      </c>
      <c r="E5" s="841" t="str">
        <f>IF(LEN('JSM Eingabe+TW'!$E33)&gt;0,'JSM Eingabe+TW'!$E33,"")</f>
        <v/>
      </c>
    </row>
    <row r="6" spans="1:13" x14ac:dyDescent="0.2">
      <c r="A6" s="212">
        <v>3</v>
      </c>
      <c r="B6" s="212">
        <v>1</v>
      </c>
      <c r="C6" s="840">
        <f>DATE('JSM Eingabe+TW'!$AB$7,$B6,$A6)</f>
        <v>3</v>
      </c>
      <c r="D6" s="212" t="str">
        <f>IF(LEN('JSM Eingabe+TW'!$D34)&gt;0,'JSM Eingabe+TW'!$D34,"")</f>
        <v/>
      </c>
      <c r="E6" s="841" t="str">
        <f>IF(LEN('JSM Eingabe+TW'!$E34)&gt;0,'JSM Eingabe+TW'!$E34,"")</f>
        <v/>
      </c>
    </row>
    <row r="7" spans="1:13" x14ac:dyDescent="0.2">
      <c r="A7" s="212">
        <v>4</v>
      </c>
      <c r="B7" s="212">
        <v>1</v>
      </c>
      <c r="C7" s="840">
        <f>DATE('JSM Eingabe+TW'!$AB$7,$B7,$A7)</f>
        <v>4</v>
      </c>
      <c r="D7" s="212" t="str">
        <f>IF(LEN('JSM Eingabe+TW'!$D35)&gt;0,'JSM Eingabe+TW'!$D35,"")</f>
        <v/>
      </c>
      <c r="E7" s="841" t="str">
        <f>IF(LEN('JSM Eingabe+TW'!$E35)&gt;0,'JSM Eingabe+TW'!$E35,"")</f>
        <v/>
      </c>
    </row>
    <row r="8" spans="1:13" x14ac:dyDescent="0.2">
      <c r="A8" s="212">
        <v>5</v>
      </c>
      <c r="B8" s="212">
        <v>1</v>
      </c>
      <c r="C8" s="840">
        <f>DATE('JSM Eingabe+TW'!$AB$7,$B8,$A8)</f>
        <v>5</v>
      </c>
      <c r="D8" s="212" t="str">
        <f>IF(LEN('JSM Eingabe+TW'!$D36)&gt;0,'JSM Eingabe+TW'!$D36,"")</f>
        <v/>
      </c>
      <c r="E8" s="841" t="str">
        <f>IF(LEN('JSM Eingabe+TW'!$E36)&gt;0,'JSM Eingabe+TW'!$E36,"")</f>
        <v/>
      </c>
    </row>
    <row r="9" spans="1:13" x14ac:dyDescent="0.2">
      <c r="A9" s="212">
        <v>6</v>
      </c>
      <c r="B9" s="212">
        <v>1</v>
      </c>
      <c r="C9" s="840">
        <f>DATE('JSM Eingabe+TW'!$AB$7,$B9,$A9)</f>
        <v>6</v>
      </c>
      <c r="D9" s="212" t="str">
        <f>IF(LEN('JSM Eingabe+TW'!$D37)&gt;0,'JSM Eingabe+TW'!$D37,"")</f>
        <v/>
      </c>
      <c r="E9" s="841" t="str">
        <f>IF(LEN('JSM Eingabe+TW'!$E37)&gt;0,'JSM Eingabe+TW'!$E37,"")</f>
        <v/>
      </c>
    </row>
    <row r="10" spans="1:13" x14ac:dyDescent="0.2">
      <c r="A10" s="212">
        <v>7</v>
      </c>
      <c r="B10" s="212">
        <v>1</v>
      </c>
      <c r="C10" s="840">
        <f>DATE('JSM Eingabe+TW'!$AB$7,$B10,$A10)</f>
        <v>7</v>
      </c>
      <c r="D10" s="212" t="str">
        <f>IF(LEN('JSM Eingabe+TW'!$D38)&gt;0,'JSM Eingabe+TW'!$D38,"")</f>
        <v/>
      </c>
      <c r="E10" s="841" t="str">
        <f>IF(LEN('JSM Eingabe+TW'!$E38)&gt;0,'JSM Eingabe+TW'!$E38,"")</f>
        <v/>
      </c>
    </row>
    <row r="11" spans="1:13" x14ac:dyDescent="0.2">
      <c r="A11" s="212">
        <v>8</v>
      </c>
      <c r="B11" s="212">
        <v>1</v>
      </c>
      <c r="C11" s="840">
        <f>DATE('JSM Eingabe+TW'!$AB$7,$B11,$A11)</f>
        <v>8</v>
      </c>
      <c r="D11" s="212" t="str">
        <f>IF(LEN('JSM Eingabe+TW'!$D39)&gt;0,'JSM Eingabe+TW'!$D39,"")</f>
        <v/>
      </c>
      <c r="E11" s="841" t="str">
        <f>IF(LEN('JSM Eingabe+TW'!$E39)&gt;0,'JSM Eingabe+TW'!$E39,"")</f>
        <v/>
      </c>
    </row>
    <row r="12" spans="1:13" x14ac:dyDescent="0.2">
      <c r="A12" s="212">
        <v>9</v>
      </c>
      <c r="B12" s="212">
        <v>1</v>
      </c>
      <c r="C12" s="840">
        <f>DATE('JSM Eingabe+TW'!$AB$7,$B12,$A12)</f>
        <v>9</v>
      </c>
      <c r="D12" s="212" t="str">
        <f>IF(LEN('JSM Eingabe+TW'!$D40)&gt;0,'JSM Eingabe+TW'!$D40,"")</f>
        <v/>
      </c>
      <c r="E12" s="841" t="str">
        <f>IF(LEN('JSM Eingabe+TW'!$E40)&gt;0,'JSM Eingabe+TW'!$E40,"")</f>
        <v/>
      </c>
    </row>
    <row r="13" spans="1:13" x14ac:dyDescent="0.2">
      <c r="A13" s="212">
        <v>10</v>
      </c>
      <c r="B13" s="212">
        <v>1</v>
      </c>
      <c r="C13" s="840">
        <f>DATE('JSM Eingabe+TW'!$AB$7,$B13,$A13)</f>
        <v>10</v>
      </c>
      <c r="D13" s="212" t="str">
        <f>IF(LEN('JSM Eingabe+TW'!$D41)&gt;0,'JSM Eingabe+TW'!$D41,"")</f>
        <v/>
      </c>
      <c r="E13" s="841" t="str">
        <f>IF(LEN('JSM Eingabe+TW'!$E41)&gt;0,'JSM Eingabe+TW'!$E41,"")</f>
        <v/>
      </c>
    </row>
    <row r="14" spans="1:13" x14ac:dyDescent="0.2">
      <c r="A14" s="212">
        <v>11</v>
      </c>
      <c r="B14" s="212">
        <v>1</v>
      </c>
      <c r="C14" s="840">
        <f>DATE('JSM Eingabe+TW'!$AB$7,$B14,$A14)</f>
        <v>11</v>
      </c>
      <c r="D14" s="212" t="str">
        <f>IF(LEN('JSM Eingabe+TW'!$D42)&gt;0,'JSM Eingabe+TW'!$D42,"")</f>
        <v/>
      </c>
      <c r="E14" s="841" t="str">
        <f>IF(LEN('JSM Eingabe+TW'!$E42)&gt;0,'JSM Eingabe+TW'!$E42,"")</f>
        <v/>
      </c>
    </row>
    <row r="15" spans="1:13" x14ac:dyDescent="0.2">
      <c r="A15" s="212">
        <v>12</v>
      </c>
      <c r="B15" s="212">
        <v>1</v>
      </c>
      <c r="C15" s="840">
        <f>DATE('JSM Eingabe+TW'!$AB$7,$B15,$A15)</f>
        <v>12</v>
      </c>
      <c r="D15" s="212" t="str">
        <f>IF(LEN('JSM Eingabe+TW'!$D43)&gt;0,'JSM Eingabe+TW'!$D43,"")</f>
        <v/>
      </c>
      <c r="E15" s="841" t="str">
        <f>IF(LEN('JSM Eingabe+TW'!$E43)&gt;0,'JSM Eingabe+TW'!$E43,"")</f>
        <v/>
      </c>
    </row>
    <row r="16" spans="1:13" x14ac:dyDescent="0.2">
      <c r="A16" s="212">
        <v>13</v>
      </c>
      <c r="B16" s="212">
        <v>1</v>
      </c>
      <c r="C16" s="840">
        <f>DATE('JSM Eingabe+TW'!$AB$7,$B16,$A16)</f>
        <v>13</v>
      </c>
      <c r="D16" s="212" t="str">
        <f>IF(LEN('JSM Eingabe+TW'!$D44)&gt;0,'JSM Eingabe+TW'!$D44,"")</f>
        <v/>
      </c>
      <c r="E16" s="841" t="str">
        <f>IF(LEN('JSM Eingabe+TW'!$E44)&gt;0,'JSM Eingabe+TW'!$E44,"")</f>
        <v/>
      </c>
    </row>
    <row r="17" spans="1:5" x14ac:dyDescent="0.2">
      <c r="A17" s="212">
        <v>14</v>
      </c>
      <c r="B17" s="212">
        <v>1</v>
      </c>
      <c r="C17" s="840">
        <f>DATE('JSM Eingabe+TW'!$AB$7,$B17,$A17)</f>
        <v>14</v>
      </c>
      <c r="D17" s="212" t="str">
        <f>IF(LEN('JSM Eingabe+TW'!$D45)&gt;0,'JSM Eingabe+TW'!$D45,"")</f>
        <v/>
      </c>
      <c r="E17" s="841" t="str">
        <f>IF(LEN('JSM Eingabe+TW'!$E45)&gt;0,'JSM Eingabe+TW'!$E45,"")</f>
        <v/>
      </c>
    </row>
    <row r="18" spans="1:5" x14ac:dyDescent="0.2">
      <c r="A18" s="212">
        <v>15</v>
      </c>
      <c r="B18" s="212">
        <v>1</v>
      </c>
      <c r="C18" s="840">
        <f>DATE('JSM Eingabe+TW'!$AB$7,$B18,$A18)</f>
        <v>15</v>
      </c>
      <c r="D18" s="212" t="str">
        <f>IF(LEN('JSM Eingabe+TW'!$D46)&gt;0,'JSM Eingabe+TW'!$D46,"")</f>
        <v/>
      </c>
      <c r="E18" s="841" t="str">
        <f>IF(LEN('JSM Eingabe+TW'!$E46)&gt;0,'JSM Eingabe+TW'!$E46,"")</f>
        <v/>
      </c>
    </row>
    <row r="19" spans="1:5" x14ac:dyDescent="0.2">
      <c r="A19" s="212">
        <v>16</v>
      </c>
      <c r="B19" s="212">
        <v>1</v>
      </c>
      <c r="C19" s="840">
        <f>DATE('JSM Eingabe+TW'!$AB$7,$B19,$A19)</f>
        <v>16</v>
      </c>
      <c r="D19" s="212" t="str">
        <f>IF(LEN('JSM Eingabe+TW'!$D47)&gt;0,'JSM Eingabe+TW'!$D47,"")</f>
        <v/>
      </c>
      <c r="E19" s="841" t="str">
        <f>IF(LEN('JSM Eingabe+TW'!$E47)&gt;0,'JSM Eingabe+TW'!$E47,"")</f>
        <v/>
      </c>
    </row>
    <row r="20" spans="1:5" x14ac:dyDescent="0.2">
      <c r="A20" s="212">
        <v>17</v>
      </c>
      <c r="B20" s="212">
        <v>1</v>
      </c>
      <c r="C20" s="840">
        <f>DATE('JSM Eingabe+TW'!$AB$7,$B20,$A20)</f>
        <v>17</v>
      </c>
      <c r="D20" s="212" t="str">
        <f>IF(LEN('JSM Eingabe+TW'!$D48)&gt;0,'JSM Eingabe+TW'!$D48,"")</f>
        <v/>
      </c>
      <c r="E20" s="841" t="str">
        <f>IF(LEN('JSM Eingabe+TW'!$E48)&gt;0,'JSM Eingabe+TW'!$E48,"")</f>
        <v/>
      </c>
    </row>
    <row r="21" spans="1:5" x14ac:dyDescent="0.2">
      <c r="A21" s="212">
        <v>18</v>
      </c>
      <c r="B21" s="212">
        <v>1</v>
      </c>
      <c r="C21" s="840">
        <f>DATE('JSM Eingabe+TW'!$AB$7,$B21,$A21)</f>
        <v>18</v>
      </c>
      <c r="D21" s="212" t="str">
        <f>IF(LEN('JSM Eingabe+TW'!$D49)&gt;0,'JSM Eingabe+TW'!$D49,"")</f>
        <v/>
      </c>
      <c r="E21" s="841" t="str">
        <f>IF(LEN('JSM Eingabe+TW'!$E49)&gt;0,'JSM Eingabe+TW'!$E49,"")</f>
        <v/>
      </c>
    </row>
    <row r="22" spans="1:5" x14ac:dyDescent="0.2">
      <c r="A22" s="212">
        <v>19</v>
      </c>
      <c r="B22" s="212">
        <v>1</v>
      </c>
      <c r="C22" s="840">
        <f>DATE('JSM Eingabe+TW'!$AB$7,$B22,$A22)</f>
        <v>19</v>
      </c>
      <c r="D22" s="212" t="str">
        <f>IF(LEN('JSM Eingabe+TW'!$D50)&gt;0,'JSM Eingabe+TW'!$D50,"")</f>
        <v/>
      </c>
      <c r="E22" s="841" t="str">
        <f>IF(LEN('JSM Eingabe+TW'!$E50)&gt;0,'JSM Eingabe+TW'!$E50,"")</f>
        <v/>
      </c>
    </row>
    <row r="23" spans="1:5" x14ac:dyDescent="0.2">
      <c r="A23" s="212">
        <v>20</v>
      </c>
      <c r="B23" s="212">
        <v>1</v>
      </c>
      <c r="C23" s="840">
        <f>DATE('JSM Eingabe+TW'!$AB$7,$B23,$A23)</f>
        <v>20</v>
      </c>
      <c r="D23" s="212" t="str">
        <f>IF(LEN('JSM Eingabe+TW'!$D51)&gt;0,'JSM Eingabe+TW'!$D51,"")</f>
        <v/>
      </c>
      <c r="E23" s="841" t="str">
        <f>IF(LEN('JSM Eingabe+TW'!$E51)&gt;0,'JSM Eingabe+TW'!$E51,"")</f>
        <v/>
      </c>
    </row>
    <row r="24" spans="1:5" x14ac:dyDescent="0.2">
      <c r="A24" s="212">
        <v>21</v>
      </c>
      <c r="B24" s="212">
        <v>1</v>
      </c>
      <c r="C24" s="840">
        <f>DATE('JSM Eingabe+TW'!$AB$7,$B24,$A24)</f>
        <v>21</v>
      </c>
      <c r="D24" s="212" t="str">
        <f>IF(LEN('JSM Eingabe+TW'!$D52)&gt;0,'JSM Eingabe+TW'!$D52,"")</f>
        <v/>
      </c>
      <c r="E24" s="841" t="str">
        <f>IF(LEN('JSM Eingabe+TW'!$E52)&gt;0,'JSM Eingabe+TW'!$E52,"")</f>
        <v/>
      </c>
    </row>
    <row r="25" spans="1:5" x14ac:dyDescent="0.2">
      <c r="A25" s="212">
        <v>22</v>
      </c>
      <c r="B25" s="212">
        <v>1</v>
      </c>
      <c r="C25" s="840">
        <f>DATE('JSM Eingabe+TW'!$AB$7,$B25,$A25)</f>
        <v>22</v>
      </c>
      <c r="D25" s="212" t="str">
        <f>IF(LEN('JSM Eingabe+TW'!$D53)&gt;0,'JSM Eingabe+TW'!$D53,"")</f>
        <v/>
      </c>
      <c r="E25" s="841" t="str">
        <f>IF(LEN('JSM Eingabe+TW'!$E53)&gt;0,'JSM Eingabe+TW'!$E53,"")</f>
        <v/>
      </c>
    </row>
    <row r="26" spans="1:5" x14ac:dyDescent="0.2">
      <c r="A26" s="212">
        <v>23</v>
      </c>
      <c r="B26" s="212">
        <v>1</v>
      </c>
      <c r="C26" s="840">
        <f>DATE('JSM Eingabe+TW'!$AB$7,$B26,$A26)</f>
        <v>23</v>
      </c>
      <c r="D26" s="212" t="str">
        <f>IF(LEN('JSM Eingabe+TW'!$D54)&gt;0,'JSM Eingabe+TW'!$D54,"")</f>
        <v/>
      </c>
      <c r="E26" s="841" t="str">
        <f>IF(LEN('JSM Eingabe+TW'!$E54)&gt;0,'JSM Eingabe+TW'!$E54,"")</f>
        <v/>
      </c>
    </row>
    <row r="27" spans="1:5" x14ac:dyDescent="0.2">
      <c r="A27" s="212">
        <v>24</v>
      </c>
      <c r="B27" s="212">
        <v>1</v>
      </c>
      <c r="C27" s="840">
        <f>DATE('JSM Eingabe+TW'!$AB$7,$B27,$A27)</f>
        <v>24</v>
      </c>
      <c r="D27" s="212" t="str">
        <f>IF(LEN('JSM Eingabe+TW'!$D55)&gt;0,'JSM Eingabe+TW'!$D55,"")</f>
        <v/>
      </c>
      <c r="E27" s="841" t="str">
        <f>IF(LEN('JSM Eingabe+TW'!$E55)&gt;0,'JSM Eingabe+TW'!$E55,"")</f>
        <v/>
      </c>
    </row>
    <row r="28" spans="1:5" x14ac:dyDescent="0.2">
      <c r="A28" s="212">
        <v>25</v>
      </c>
      <c r="B28" s="212">
        <v>1</v>
      </c>
      <c r="C28" s="840">
        <f>DATE('JSM Eingabe+TW'!$AB$7,$B28,$A28)</f>
        <v>25</v>
      </c>
      <c r="D28" s="212" t="str">
        <f>IF(LEN('JSM Eingabe+TW'!$D56)&gt;0,'JSM Eingabe+TW'!$D56,"")</f>
        <v/>
      </c>
      <c r="E28" s="841" t="str">
        <f>IF(LEN('JSM Eingabe+TW'!$E56)&gt;0,'JSM Eingabe+TW'!$E56,"")</f>
        <v/>
      </c>
    </row>
    <row r="29" spans="1:5" x14ac:dyDescent="0.2">
      <c r="A29" s="212">
        <v>26</v>
      </c>
      <c r="B29" s="212">
        <v>1</v>
      </c>
      <c r="C29" s="840">
        <f>DATE('JSM Eingabe+TW'!$AB$7,$B29,$A29)</f>
        <v>26</v>
      </c>
      <c r="D29" s="212" t="str">
        <f>IF(LEN('JSM Eingabe+TW'!$D57)&gt;0,'JSM Eingabe+TW'!$D57,"")</f>
        <v/>
      </c>
      <c r="E29" s="841" t="str">
        <f>IF(LEN('JSM Eingabe+TW'!$E57)&gt;0,'JSM Eingabe+TW'!$E57,"")</f>
        <v/>
      </c>
    </row>
    <row r="30" spans="1:5" x14ac:dyDescent="0.2">
      <c r="A30" s="212">
        <v>27</v>
      </c>
      <c r="B30" s="212">
        <v>1</v>
      </c>
      <c r="C30" s="840">
        <f>DATE('JSM Eingabe+TW'!$AB$7,$B30,$A30)</f>
        <v>27</v>
      </c>
      <c r="D30" s="212" t="str">
        <f>IF(LEN('JSM Eingabe+TW'!$D58)&gt;0,'JSM Eingabe+TW'!$D58,"")</f>
        <v/>
      </c>
      <c r="E30" s="841" t="str">
        <f>IF(LEN('JSM Eingabe+TW'!$E58)&gt;0,'JSM Eingabe+TW'!$E58,"")</f>
        <v/>
      </c>
    </row>
    <row r="31" spans="1:5" x14ac:dyDescent="0.2">
      <c r="A31" s="212">
        <v>28</v>
      </c>
      <c r="B31" s="212">
        <v>1</v>
      </c>
      <c r="C31" s="840">
        <f>DATE('JSM Eingabe+TW'!$AB$7,$B31,$A31)</f>
        <v>28</v>
      </c>
      <c r="D31" s="212" t="str">
        <f>IF(LEN('JSM Eingabe+TW'!$D59)&gt;0,'JSM Eingabe+TW'!$D59,"")</f>
        <v/>
      </c>
      <c r="E31" s="841" t="str">
        <f>IF(LEN('JSM Eingabe+TW'!$E59)&gt;0,'JSM Eingabe+TW'!$E59,"")</f>
        <v/>
      </c>
    </row>
    <row r="32" spans="1:5" x14ac:dyDescent="0.2">
      <c r="A32" s="212">
        <v>29</v>
      </c>
      <c r="B32" s="212">
        <v>1</v>
      </c>
      <c r="C32" s="840">
        <f>DATE('JSM Eingabe+TW'!$AB$7,$B32,$A32)</f>
        <v>29</v>
      </c>
      <c r="D32" s="212" t="str">
        <f>IF(LEN('JSM Eingabe+TW'!$D60)&gt;0,'JSM Eingabe+TW'!$D60,"")</f>
        <v/>
      </c>
      <c r="E32" s="841" t="str">
        <f>IF(LEN('JSM Eingabe+TW'!$E60)&gt;0,'JSM Eingabe+TW'!$E60,"")</f>
        <v/>
      </c>
    </row>
    <row r="33" spans="1:5" x14ac:dyDescent="0.2">
      <c r="A33" s="212">
        <v>30</v>
      </c>
      <c r="B33" s="212">
        <v>1</v>
      </c>
      <c r="C33" s="840">
        <f>DATE('JSM Eingabe+TW'!$AB$7,$B33,$A33)</f>
        <v>30</v>
      </c>
      <c r="D33" s="212" t="str">
        <f>IF(LEN('JSM Eingabe+TW'!$D61)&gt;0,'JSM Eingabe+TW'!$D61,"")</f>
        <v/>
      </c>
      <c r="E33" s="841" t="str">
        <f>IF(LEN('JSM Eingabe+TW'!$E61)&gt;0,'JSM Eingabe+TW'!$E61,"")</f>
        <v/>
      </c>
    </row>
    <row r="34" spans="1:5" x14ac:dyDescent="0.2">
      <c r="A34" s="212">
        <v>31</v>
      </c>
      <c r="B34" s="212">
        <v>1</v>
      </c>
      <c r="C34" s="840">
        <f>DATE('JSM Eingabe+TW'!$AB$7,$B34,$A34)</f>
        <v>31</v>
      </c>
      <c r="D34" s="212" t="str">
        <f>IF(LEN('JSM Eingabe+TW'!$D62)&gt;0,'JSM Eingabe+TW'!$D62,"")</f>
        <v/>
      </c>
      <c r="E34" s="841" t="str">
        <f>IF(LEN('JSM Eingabe+TW'!$E62)&gt;0,'JSM Eingabe+TW'!$E62,"")</f>
        <v/>
      </c>
    </row>
    <row r="35" spans="1:5" x14ac:dyDescent="0.2">
      <c r="A35" s="212">
        <v>1</v>
      </c>
      <c r="B35" s="212">
        <v>2</v>
      </c>
      <c r="C35" s="840">
        <f>DATE('JSM Eingabe+TW'!$AB$7,$B35,$A35)</f>
        <v>32</v>
      </c>
      <c r="D35" s="212" t="str">
        <f>IF(LEN('JSM Eingabe+TW'!$F32)&gt;0,'JSM Eingabe+TW'!$F32,"")</f>
        <v/>
      </c>
      <c r="E35" s="841" t="str">
        <f>IF(LEN('JSM Eingabe+TW'!$G32)&gt;0,'JSM Eingabe+TW'!$G32,"")</f>
        <v/>
      </c>
    </row>
    <row r="36" spans="1:5" x14ac:dyDescent="0.2">
      <c r="A36" s="212">
        <v>2</v>
      </c>
      <c r="B36" s="212">
        <v>2</v>
      </c>
      <c r="C36" s="840">
        <f>DATE('JSM Eingabe+TW'!$AB$7,$B36,$A36)</f>
        <v>33</v>
      </c>
      <c r="D36" s="212" t="str">
        <f>IF(LEN('JSM Eingabe+TW'!$F33)&gt;0,'JSM Eingabe+TW'!$F33,"")</f>
        <v/>
      </c>
      <c r="E36" s="841" t="str">
        <f>IF(LEN('JSM Eingabe+TW'!$G33)&gt;0,'JSM Eingabe+TW'!$G33,"")</f>
        <v/>
      </c>
    </row>
    <row r="37" spans="1:5" x14ac:dyDescent="0.2">
      <c r="A37" s="212">
        <v>3</v>
      </c>
      <c r="B37" s="212">
        <v>2</v>
      </c>
      <c r="C37" s="840">
        <f>DATE('JSM Eingabe+TW'!$AB$7,$B37,$A37)</f>
        <v>34</v>
      </c>
      <c r="D37" s="212" t="str">
        <f>IF(LEN('JSM Eingabe+TW'!$F34)&gt;0,'JSM Eingabe+TW'!$F34,"")</f>
        <v/>
      </c>
      <c r="E37" s="841" t="str">
        <f>IF(LEN('JSM Eingabe+TW'!$G34)&gt;0,'JSM Eingabe+TW'!$G34,"")</f>
        <v/>
      </c>
    </row>
    <row r="38" spans="1:5" x14ac:dyDescent="0.2">
      <c r="A38" s="212">
        <v>4</v>
      </c>
      <c r="B38" s="212">
        <v>2</v>
      </c>
      <c r="C38" s="840">
        <f>DATE('JSM Eingabe+TW'!$AB$7,$B38,$A38)</f>
        <v>35</v>
      </c>
      <c r="D38" s="212" t="str">
        <f>IF(LEN('JSM Eingabe+TW'!$F35)&gt;0,'JSM Eingabe+TW'!$F35,"")</f>
        <v/>
      </c>
      <c r="E38" s="841" t="str">
        <f>IF(LEN('JSM Eingabe+TW'!$G35)&gt;0,'JSM Eingabe+TW'!$G35,"")</f>
        <v/>
      </c>
    </row>
    <row r="39" spans="1:5" x14ac:dyDescent="0.2">
      <c r="A39" s="212">
        <v>5</v>
      </c>
      <c r="B39" s="212">
        <v>2</v>
      </c>
      <c r="C39" s="840">
        <f>DATE('JSM Eingabe+TW'!$AB$7,$B39,$A39)</f>
        <v>36</v>
      </c>
      <c r="D39" s="212" t="str">
        <f>IF(LEN('JSM Eingabe+TW'!$F36)&gt;0,'JSM Eingabe+TW'!$F36,"")</f>
        <v/>
      </c>
      <c r="E39" s="841" t="str">
        <f>IF(LEN('JSM Eingabe+TW'!$G36)&gt;0,'JSM Eingabe+TW'!$G36,"")</f>
        <v/>
      </c>
    </row>
    <row r="40" spans="1:5" x14ac:dyDescent="0.2">
      <c r="A40" s="212">
        <v>6</v>
      </c>
      <c r="B40" s="212">
        <v>2</v>
      </c>
      <c r="C40" s="840">
        <f>DATE('JSM Eingabe+TW'!$AB$7,$B40,$A40)</f>
        <v>37</v>
      </c>
      <c r="D40" s="212" t="str">
        <f>IF(LEN('JSM Eingabe+TW'!$F37)&gt;0,'JSM Eingabe+TW'!$F37,"")</f>
        <v/>
      </c>
      <c r="E40" s="841" t="str">
        <f>IF(LEN('JSM Eingabe+TW'!$G37)&gt;0,'JSM Eingabe+TW'!$G37,"")</f>
        <v/>
      </c>
    </row>
    <row r="41" spans="1:5" x14ac:dyDescent="0.2">
      <c r="A41" s="212">
        <v>7</v>
      </c>
      <c r="B41" s="212">
        <v>2</v>
      </c>
      <c r="C41" s="840">
        <f>DATE('JSM Eingabe+TW'!$AB$7,$B41,$A41)</f>
        <v>38</v>
      </c>
      <c r="D41" s="212" t="str">
        <f>IF(LEN('JSM Eingabe+TW'!$F38)&gt;0,'JSM Eingabe+TW'!$F38,"")</f>
        <v/>
      </c>
      <c r="E41" s="841" t="str">
        <f>IF(LEN('JSM Eingabe+TW'!$G38)&gt;0,'JSM Eingabe+TW'!$G38,"")</f>
        <v/>
      </c>
    </row>
    <row r="42" spans="1:5" x14ac:dyDescent="0.2">
      <c r="A42" s="212">
        <v>8</v>
      </c>
      <c r="B42" s="212">
        <v>2</v>
      </c>
      <c r="C42" s="840">
        <f>DATE('JSM Eingabe+TW'!$AB$7,$B42,$A42)</f>
        <v>39</v>
      </c>
      <c r="D42" s="212" t="str">
        <f>IF(LEN('JSM Eingabe+TW'!$F39)&gt;0,'JSM Eingabe+TW'!$F39,"")</f>
        <v/>
      </c>
      <c r="E42" s="841" t="str">
        <f>IF(LEN('JSM Eingabe+TW'!$G39)&gt;0,'JSM Eingabe+TW'!$G39,"")</f>
        <v/>
      </c>
    </row>
    <row r="43" spans="1:5" x14ac:dyDescent="0.2">
      <c r="A43" s="212">
        <v>9</v>
      </c>
      <c r="B43" s="212">
        <v>2</v>
      </c>
      <c r="C43" s="840">
        <f>DATE('JSM Eingabe+TW'!$AB$7,$B43,$A43)</f>
        <v>40</v>
      </c>
      <c r="D43" s="212" t="str">
        <f>IF(LEN('JSM Eingabe+TW'!$F40)&gt;0,'JSM Eingabe+TW'!$F40,"")</f>
        <v/>
      </c>
      <c r="E43" s="841" t="str">
        <f>IF(LEN('JSM Eingabe+TW'!$G40)&gt;0,'JSM Eingabe+TW'!$G40,"")</f>
        <v/>
      </c>
    </row>
    <row r="44" spans="1:5" x14ac:dyDescent="0.2">
      <c r="A44" s="212">
        <v>10</v>
      </c>
      <c r="B44" s="212">
        <v>2</v>
      </c>
      <c r="C44" s="840">
        <f>DATE('JSM Eingabe+TW'!$AB$7,$B44,$A44)</f>
        <v>41</v>
      </c>
      <c r="D44" s="212" t="str">
        <f>IF(LEN('JSM Eingabe+TW'!$F41)&gt;0,'JSM Eingabe+TW'!$F41,"")</f>
        <v/>
      </c>
      <c r="E44" s="841" t="str">
        <f>IF(LEN('JSM Eingabe+TW'!$G41)&gt;0,'JSM Eingabe+TW'!$G41,"")</f>
        <v/>
      </c>
    </row>
    <row r="45" spans="1:5" x14ac:dyDescent="0.2">
      <c r="A45" s="212">
        <v>11</v>
      </c>
      <c r="B45" s="212">
        <v>2</v>
      </c>
      <c r="C45" s="840">
        <f>DATE('JSM Eingabe+TW'!$AB$7,$B45,$A45)</f>
        <v>42</v>
      </c>
      <c r="D45" s="212" t="str">
        <f>IF(LEN('JSM Eingabe+TW'!$F42)&gt;0,'JSM Eingabe+TW'!$F42,"")</f>
        <v/>
      </c>
      <c r="E45" s="841" t="str">
        <f>IF(LEN('JSM Eingabe+TW'!$G42)&gt;0,'JSM Eingabe+TW'!$G42,"")</f>
        <v/>
      </c>
    </row>
    <row r="46" spans="1:5" x14ac:dyDescent="0.2">
      <c r="A46" s="212">
        <v>12</v>
      </c>
      <c r="B46" s="212">
        <v>2</v>
      </c>
      <c r="C46" s="840">
        <f>DATE('JSM Eingabe+TW'!$AB$7,$B46,$A46)</f>
        <v>43</v>
      </c>
      <c r="D46" s="212" t="str">
        <f>IF(LEN('JSM Eingabe+TW'!$F43)&gt;0,'JSM Eingabe+TW'!$F43,"")</f>
        <v/>
      </c>
      <c r="E46" s="841" t="str">
        <f>IF(LEN('JSM Eingabe+TW'!$G43)&gt;0,'JSM Eingabe+TW'!$G43,"")</f>
        <v/>
      </c>
    </row>
    <row r="47" spans="1:5" x14ac:dyDescent="0.2">
      <c r="A47" s="212">
        <v>13</v>
      </c>
      <c r="B47" s="212">
        <v>2</v>
      </c>
      <c r="C47" s="840">
        <f>DATE('JSM Eingabe+TW'!$AB$7,$B47,$A47)</f>
        <v>44</v>
      </c>
      <c r="D47" s="212" t="str">
        <f>IF(LEN('JSM Eingabe+TW'!$F44)&gt;0,'JSM Eingabe+TW'!$F44,"")</f>
        <v/>
      </c>
      <c r="E47" s="841" t="str">
        <f>IF(LEN('JSM Eingabe+TW'!$G44)&gt;0,'JSM Eingabe+TW'!$G44,"")</f>
        <v/>
      </c>
    </row>
    <row r="48" spans="1:5" x14ac:dyDescent="0.2">
      <c r="A48" s="212">
        <v>14</v>
      </c>
      <c r="B48" s="212">
        <v>2</v>
      </c>
      <c r="C48" s="840">
        <f>DATE('JSM Eingabe+TW'!$AB$7,$B48,$A48)</f>
        <v>45</v>
      </c>
      <c r="D48" s="212" t="str">
        <f>IF(LEN('JSM Eingabe+TW'!$F45)&gt;0,'JSM Eingabe+TW'!$F45,"")</f>
        <v/>
      </c>
      <c r="E48" s="841" t="str">
        <f>IF(LEN('JSM Eingabe+TW'!$G45)&gt;0,'JSM Eingabe+TW'!$G45,"")</f>
        <v/>
      </c>
    </row>
    <row r="49" spans="1:5" x14ac:dyDescent="0.2">
      <c r="A49" s="212">
        <v>15</v>
      </c>
      <c r="B49" s="212">
        <v>2</v>
      </c>
      <c r="C49" s="840">
        <f>DATE('JSM Eingabe+TW'!$AB$7,$B49,$A49)</f>
        <v>46</v>
      </c>
      <c r="D49" s="212" t="str">
        <f>IF(LEN('JSM Eingabe+TW'!$F46)&gt;0,'JSM Eingabe+TW'!$F46,"")</f>
        <v/>
      </c>
      <c r="E49" s="841" t="str">
        <f>IF(LEN('JSM Eingabe+TW'!$G46)&gt;0,'JSM Eingabe+TW'!$G46,"")</f>
        <v/>
      </c>
    </row>
    <row r="50" spans="1:5" x14ac:dyDescent="0.2">
      <c r="A50" s="212">
        <v>16</v>
      </c>
      <c r="B50" s="212">
        <v>2</v>
      </c>
      <c r="C50" s="840">
        <f>DATE('JSM Eingabe+TW'!$AB$7,$B50,$A50)</f>
        <v>47</v>
      </c>
      <c r="D50" s="212" t="str">
        <f>IF(LEN('JSM Eingabe+TW'!$F47)&gt;0,'JSM Eingabe+TW'!$F47,"")</f>
        <v/>
      </c>
      <c r="E50" s="841" t="str">
        <f>IF(LEN('JSM Eingabe+TW'!$G47)&gt;0,'JSM Eingabe+TW'!$G47,"")</f>
        <v/>
      </c>
    </row>
    <row r="51" spans="1:5" x14ac:dyDescent="0.2">
      <c r="A51" s="212">
        <v>17</v>
      </c>
      <c r="B51" s="212">
        <v>2</v>
      </c>
      <c r="C51" s="840">
        <f>DATE('JSM Eingabe+TW'!$AB$7,$B51,$A51)</f>
        <v>48</v>
      </c>
      <c r="D51" s="212" t="str">
        <f>IF(LEN('JSM Eingabe+TW'!$F48)&gt;0,'JSM Eingabe+TW'!$F48,"")</f>
        <v/>
      </c>
      <c r="E51" s="841" t="str">
        <f>IF(LEN('JSM Eingabe+TW'!$G48)&gt;0,'JSM Eingabe+TW'!$G48,"")</f>
        <v/>
      </c>
    </row>
    <row r="52" spans="1:5" x14ac:dyDescent="0.2">
      <c r="A52" s="212">
        <v>18</v>
      </c>
      <c r="B52" s="212">
        <v>2</v>
      </c>
      <c r="C52" s="840">
        <f>DATE('JSM Eingabe+TW'!$AB$7,$B52,$A52)</f>
        <v>49</v>
      </c>
      <c r="D52" s="212" t="str">
        <f>IF(LEN('JSM Eingabe+TW'!$F49)&gt;0,'JSM Eingabe+TW'!$F49,"")</f>
        <v/>
      </c>
      <c r="E52" s="841" t="str">
        <f>IF(LEN('JSM Eingabe+TW'!$G49)&gt;0,'JSM Eingabe+TW'!$G49,"")</f>
        <v/>
      </c>
    </row>
    <row r="53" spans="1:5" x14ac:dyDescent="0.2">
      <c r="A53" s="212">
        <v>19</v>
      </c>
      <c r="B53" s="212">
        <v>2</v>
      </c>
      <c r="C53" s="840">
        <f>DATE('JSM Eingabe+TW'!$AB$7,$B53,$A53)</f>
        <v>50</v>
      </c>
      <c r="D53" s="212" t="str">
        <f>IF(LEN('JSM Eingabe+TW'!$F50)&gt;0,'JSM Eingabe+TW'!$F50,"")</f>
        <v/>
      </c>
      <c r="E53" s="841" t="str">
        <f>IF(LEN('JSM Eingabe+TW'!$G50)&gt;0,'JSM Eingabe+TW'!$G50,"")</f>
        <v/>
      </c>
    </row>
    <row r="54" spans="1:5" x14ac:dyDescent="0.2">
      <c r="A54" s="212">
        <v>20</v>
      </c>
      <c r="B54" s="212">
        <v>2</v>
      </c>
      <c r="C54" s="840">
        <f>DATE('JSM Eingabe+TW'!$AB$7,$B54,$A54)</f>
        <v>51</v>
      </c>
      <c r="D54" s="212" t="str">
        <f>IF(LEN('JSM Eingabe+TW'!$F51)&gt;0,'JSM Eingabe+TW'!$F51,"")</f>
        <v/>
      </c>
      <c r="E54" s="841" t="str">
        <f>IF(LEN('JSM Eingabe+TW'!$G51)&gt;0,'JSM Eingabe+TW'!$G51,"")</f>
        <v/>
      </c>
    </row>
    <row r="55" spans="1:5" x14ac:dyDescent="0.2">
      <c r="A55" s="212">
        <v>21</v>
      </c>
      <c r="B55" s="212">
        <v>2</v>
      </c>
      <c r="C55" s="840">
        <f>DATE('JSM Eingabe+TW'!$AB$7,$B55,$A55)</f>
        <v>52</v>
      </c>
      <c r="D55" s="212" t="str">
        <f>IF(LEN('JSM Eingabe+TW'!$F52)&gt;0,'JSM Eingabe+TW'!$F52,"")</f>
        <v/>
      </c>
      <c r="E55" s="841" t="str">
        <f>IF(LEN('JSM Eingabe+TW'!$G52)&gt;0,'JSM Eingabe+TW'!$G52,"")</f>
        <v/>
      </c>
    </row>
    <row r="56" spans="1:5" x14ac:dyDescent="0.2">
      <c r="A56" s="212">
        <v>22</v>
      </c>
      <c r="B56" s="212">
        <v>2</v>
      </c>
      <c r="C56" s="840">
        <f>DATE('JSM Eingabe+TW'!$AB$7,$B56,$A56)</f>
        <v>53</v>
      </c>
      <c r="D56" s="212" t="str">
        <f>IF(LEN('JSM Eingabe+TW'!$F53)&gt;0,'JSM Eingabe+TW'!$F53,"")</f>
        <v/>
      </c>
      <c r="E56" s="841" t="str">
        <f>IF(LEN('JSM Eingabe+TW'!$G53)&gt;0,'JSM Eingabe+TW'!$G53,"")</f>
        <v/>
      </c>
    </row>
    <row r="57" spans="1:5" x14ac:dyDescent="0.2">
      <c r="A57" s="212">
        <v>23</v>
      </c>
      <c r="B57" s="212">
        <v>2</v>
      </c>
      <c r="C57" s="840">
        <f>DATE('JSM Eingabe+TW'!$AB$7,$B57,$A57)</f>
        <v>54</v>
      </c>
      <c r="D57" s="212" t="str">
        <f>IF(LEN('JSM Eingabe+TW'!$F54)&gt;0,'JSM Eingabe+TW'!$F54,"")</f>
        <v/>
      </c>
      <c r="E57" s="841" t="str">
        <f>IF(LEN('JSM Eingabe+TW'!$G54)&gt;0,'JSM Eingabe+TW'!$G54,"")</f>
        <v/>
      </c>
    </row>
    <row r="58" spans="1:5" x14ac:dyDescent="0.2">
      <c r="A58" s="212">
        <v>24</v>
      </c>
      <c r="B58" s="212">
        <v>2</v>
      </c>
      <c r="C58" s="840">
        <f>DATE('JSM Eingabe+TW'!$AB$7,$B58,$A58)</f>
        <v>55</v>
      </c>
      <c r="D58" s="212" t="str">
        <f>IF(LEN('JSM Eingabe+TW'!$F55)&gt;0,'JSM Eingabe+TW'!$F55,"")</f>
        <v/>
      </c>
      <c r="E58" s="841" t="str">
        <f>IF(LEN('JSM Eingabe+TW'!$G55)&gt;0,'JSM Eingabe+TW'!$G55,"")</f>
        <v/>
      </c>
    </row>
    <row r="59" spans="1:5" x14ac:dyDescent="0.2">
      <c r="A59" s="212">
        <v>25</v>
      </c>
      <c r="B59" s="212">
        <v>2</v>
      </c>
      <c r="C59" s="840">
        <f>DATE('JSM Eingabe+TW'!$AB$7,$B59,$A59)</f>
        <v>56</v>
      </c>
      <c r="D59" s="212" t="str">
        <f>IF(LEN('JSM Eingabe+TW'!$F56)&gt;0,'JSM Eingabe+TW'!$F56,"")</f>
        <v/>
      </c>
      <c r="E59" s="841" t="str">
        <f>IF(LEN('JSM Eingabe+TW'!$G56)&gt;0,'JSM Eingabe+TW'!$G56,"")</f>
        <v/>
      </c>
    </row>
    <row r="60" spans="1:5" x14ac:dyDescent="0.2">
      <c r="A60" s="212">
        <v>26</v>
      </c>
      <c r="B60" s="212">
        <v>2</v>
      </c>
      <c r="C60" s="840">
        <f>DATE('JSM Eingabe+TW'!$AB$7,$B60,$A60)</f>
        <v>57</v>
      </c>
      <c r="D60" s="212" t="str">
        <f>IF(LEN('JSM Eingabe+TW'!$F57)&gt;0,'JSM Eingabe+TW'!$F57,"")</f>
        <v/>
      </c>
      <c r="E60" s="841" t="str">
        <f>IF(LEN('JSM Eingabe+TW'!$G57)&gt;0,'JSM Eingabe+TW'!$G57,"")</f>
        <v/>
      </c>
    </row>
    <row r="61" spans="1:5" x14ac:dyDescent="0.2">
      <c r="A61" s="212">
        <v>27</v>
      </c>
      <c r="B61" s="212">
        <v>2</v>
      </c>
      <c r="C61" s="840">
        <f>DATE('JSM Eingabe+TW'!$AB$7,$B61,$A61)</f>
        <v>58</v>
      </c>
      <c r="D61" s="212" t="str">
        <f>IF(LEN('JSM Eingabe+TW'!$F58)&gt;0,'JSM Eingabe+TW'!$F58,"")</f>
        <v/>
      </c>
      <c r="E61" s="841" t="str">
        <f>IF(LEN('JSM Eingabe+TW'!$G58)&gt;0,'JSM Eingabe+TW'!$G58,"")</f>
        <v/>
      </c>
    </row>
    <row r="62" spans="1:5" x14ac:dyDescent="0.2">
      <c r="A62" s="212">
        <v>28</v>
      </c>
      <c r="B62" s="212">
        <v>2</v>
      </c>
      <c r="C62" s="840">
        <f>DATE('JSM Eingabe+TW'!$AB$7,$B62,$A62)</f>
        <v>59</v>
      </c>
      <c r="D62" s="212" t="str">
        <f>IF(LEN('JSM Eingabe+TW'!$F59)&gt;0,'JSM Eingabe+TW'!$F59,"")</f>
        <v/>
      </c>
      <c r="E62" s="841" t="str">
        <f>IF(LEN('JSM Eingabe+TW'!$G59)&gt;0,'JSM Eingabe+TW'!$G59,"")</f>
        <v/>
      </c>
    </row>
    <row r="63" spans="1:5" x14ac:dyDescent="0.2">
      <c r="A63" s="212">
        <v>29</v>
      </c>
      <c r="B63" s="212">
        <v>2</v>
      </c>
      <c r="C63" s="840">
        <f>IF(MONTH(DATE('JSM Eingabe+TW'!$AB$7,$B$63,$A$63))=2,DATE('JSM Eingabe+TW'!$AB$7,$B$63,$A$63),"-")</f>
        <v>60</v>
      </c>
      <c r="D63" s="212" t="str">
        <f>IF(LEN('JSM Eingabe+TW'!$F60)&gt;0,'JSM Eingabe+TW'!$F60,"")</f>
        <v/>
      </c>
      <c r="E63" s="841" t="str">
        <f>IF(LEN('JSM Eingabe+TW'!$G60)&gt;0,'JSM Eingabe+TW'!$G60,"")</f>
        <v/>
      </c>
    </row>
    <row r="64" spans="1:5" x14ac:dyDescent="0.2">
      <c r="A64" s="212">
        <v>1</v>
      </c>
      <c r="B64" s="212">
        <v>3</v>
      </c>
      <c r="C64" s="840">
        <f>DATE('JSM Eingabe+TW'!$AB$7,$B64,$A64)</f>
        <v>61</v>
      </c>
      <c r="D64" s="212" t="str">
        <f>IF(LEN('JSM Eingabe+TW'!$H32)&gt;0,'JSM Eingabe+TW'!$H32,"")</f>
        <v/>
      </c>
      <c r="E64" s="841" t="str">
        <f>IF(LEN('JSM Eingabe+TW'!$I32)&gt;0,'JSM Eingabe+TW'!$I32,"")</f>
        <v/>
      </c>
    </row>
    <row r="65" spans="1:5" x14ac:dyDescent="0.2">
      <c r="A65" s="212">
        <v>2</v>
      </c>
      <c r="B65" s="212">
        <v>3</v>
      </c>
      <c r="C65" s="840">
        <f>DATE('JSM Eingabe+TW'!$AB$7,$B65,$A65)</f>
        <v>62</v>
      </c>
      <c r="D65" s="212" t="str">
        <f>IF(LEN('JSM Eingabe+TW'!$H33)&gt;0,'JSM Eingabe+TW'!$H33,"")</f>
        <v/>
      </c>
      <c r="E65" s="841" t="str">
        <f>IF(LEN('JSM Eingabe+TW'!$I33)&gt;0,'JSM Eingabe+TW'!$I33,"")</f>
        <v/>
      </c>
    </row>
    <row r="66" spans="1:5" x14ac:dyDescent="0.2">
      <c r="A66" s="212">
        <v>3</v>
      </c>
      <c r="B66" s="212">
        <v>3</v>
      </c>
      <c r="C66" s="840">
        <f>DATE('JSM Eingabe+TW'!$AB$7,$B66,$A66)</f>
        <v>63</v>
      </c>
      <c r="D66" s="212" t="str">
        <f>IF(LEN('JSM Eingabe+TW'!$H34)&gt;0,'JSM Eingabe+TW'!$H34,"")</f>
        <v/>
      </c>
      <c r="E66" s="841" t="str">
        <f>IF(LEN('JSM Eingabe+TW'!$I34)&gt;0,'JSM Eingabe+TW'!$I34,"")</f>
        <v/>
      </c>
    </row>
    <row r="67" spans="1:5" x14ac:dyDescent="0.2">
      <c r="A67" s="212">
        <v>4</v>
      </c>
      <c r="B67" s="212">
        <v>3</v>
      </c>
      <c r="C67" s="840">
        <f>DATE('JSM Eingabe+TW'!$AB$7,$B67,$A67)</f>
        <v>64</v>
      </c>
      <c r="D67" s="212" t="str">
        <f>IF(LEN('JSM Eingabe+TW'!$H35)&gt;0,'JSM Eingabe+TW'!$H35,"")</f>
        <v/>
      </c>
      <c r="E67" s="841" t="str">
        <f>IF(LEN('JSM Eingabe+TW'!$I35)&gt;0,'JSM Eingabe+TW'!$I35,"")</f>
        <v/>
      </c>
    </row>
    <row r="68" spans="1:5" x14ac:dyDescent="0.2">
      <c r="A68" s="212">
        <v>5</v>
      </c>
      <c r="B68" s="212">
        <v>3</v>
      </c>
      <c r="C68" s="840">
        <f>DATE('JSM Eingabe+TW'!$AB$7,$B68,$A68)</f>
        <v>65</v>
      </c>
      <c r="D68" s="212" t="str">
        <f>IF(LEN('JSM Eingabe+TW'!$H36)&gt;0,'JSM Eingabe+TW'!$H36,"")</f>
        <v/>
      </c>
      <c r="E68" s="841" t="str">
        <f>IF(LEN('JSM Eingabe+TW'!$I36)&gt;0,'JSM Eingabe+TW'!$I36,"")</f>
        <v/>
      </c>
    </row>
    <row r="69" spans="1:5" x14ac:dyDescent="0.2">
      <c r="A69" s="212">
        <v>6</v>
      </c>
      <c r="B69" s="212">
        <v>3</v>
      </c>
      <c r="C69" s="840">
        <f>DATE('JSM Eingabe+TW'!$AB$7,$B69,$A69)</f>
        <v>66</v>
      </c>
      <c r="D69" s="212" t="str">
        <f>IF(LEN('JSM Eingabe+TW'!$H37)&gt;0,'JSM Eingabe+TW'!$H37,"")</f>
        <v/>
      </c>
      <c r="E69" s="841" t="str">
        <f>IF(LEN('JSM Eingabe+TW'!$I37)&gt;0,'JSM Eingabe+TW'!$I37,"")</f>
        <v/>
      </c>
    </row>
    <row r="70" spans="1:5" x14ac:dyDescent="0.2">
      <c r="A70" s="212">
        <v>7</v>
      </c>
      <c r="B70" s="212">
        <v>3</v>
      </c>
      <c r="C70" s="840">
        <f>DATE('JSM Eingabe+TW'!$AB$7,$B70,$A70)</f>
        <v>67</v>
      </c>
      <c r="D70" s="212" t="str">
        <f>IF(LEN('JSM Eingabe+TW'!$H38)&gt;0,'JSM Eingabe+TW'!$H38,"")</f>
        <v/>
      </c>
      <c r="E70" s="841" t="str">
        <f>IF(LEN('JSM Eingabe+TW'!$I38)&gt;0,'JSM Eingabe+TW'!$I38,"")</f>
        <v/>
      </c>
    </row>
    <row r="71" spans="1:5" x14ac:dyDescent="0.2">
      <c r="A71" s="212">
        <v>8</v>
      </c>
      <c r="B71" s="212">
        <v>3</v>
      </c>
      <c r="C71" s="840">
        <f>DATE('JSM Eingabe+TW'!$AB$7,$B71,$A71)</f>
        <v>68</v>
      </c>
      <c r="D71" s="212" t="str">
        <f>IF(LEN('JSM Eingabe+TW'!$H39)&gt;0,'JSM Eingabe+TW'!$H39,"")</f>
        <v/>
      </c>
      <c r="E71" s="841" t="str">
        <f>IF(LEN('JSM Eingabe+TW'!$I39)&gt;0,'JSM Eingabe+TW'!$I39,"")</f>
        <v/>
      </c>
    </row>
    <row r="72" spans="1:5" x14ac:dyDescent="0.2">
      <c r="A72" s="212">
        <v>9</v>
      </c>
      <c r="B72" s="212">
        <v>3</v>
      </c>
      <c r="C72" s="840">
        <f>DATE('JSM Eingabe+TW'!$AB$7,$B72,$A72)</f>
        <v>69</v>
      </c>
      <c r="D72" s="212" t="str">
        <f>IF(LEN('JSM Eingabe+TW'!$H40)&gt;0,'JSM Eingabe+TW'!$H40,"")</f>
        <v/>
      </c>
      <c r="E72" s="841" t="str">
        <f>IF(LEN('JSM Eingabe+TW'!$I40)&gt;0,'JSM Eingabe+TW'!$I40,"")</f>
        <v/>
      </c>
    </row>
    <row r="73" spans="1:5" x14ac:dyDescent="0.2">
      <c r="A73" s="212">
        <v>10</v>
      </c>
      <c r="B73" s="212">
        <v>3</v>
      </c>
      <c r="C73" s="840">
        <f>DATE('JSM Eingabe+TW'!$AB$7,$B73,$A73)</f>
        <v>70</v>
      </c>
      <c r="D73" s="212" t="str">
        <f>IF(LEN('JSM Eingabe+TW'!$H41)&gt;0,'JSM Eingabe+TW'!$H41,"")</f>
        <v/>
      </c>
      <c r="E73" s="841" t="str">
        <f>IF(LEN('JSM Eingabe+TW'!$I41)&gt;0,'JSM Eingabe+TW'!$I41,"")</f>
        <v/>
      </c>
    </row>
    <row r="74" spans="1:5" x14ac:dyDescent="0.2">
      <c r="A74" s="212">
        <v>11</v>
      </c>
      <c r="B74" s="212">
        <v>3</v>
      </c>
      <c r="C74" s="840">
        <f>DATE('JSM Eingabe+TW'!$AB$7,$B74,$A74)</f>
        <v>71</v>
      </c>
      <c r="D74" s="212" t="str">
        <f>IF(LEN('JSM Eingabe+TW'!$H42)&gt;0,'JSM Eingabe+TW'!$H42,"")</f>
        <v/>
      </c>
      <c r="E74" s="841" t="str">
        <f>IF(LEN('JSM Eingabe+TW'!$I42)&gt;0,'JSM Eingabe+TW'!$I42,"")</f>
        <v/>
      </c>
    </row>
    <row r="75" spans="1:5" x14ac:dyDescent="0.2">
      <c r="A75" s="212">
        <v>12</v>
      </c>
      <c r="B75" s="212">
        <v>3</v>
      </c>
      <c r="C75" s="840">
        <f>DATE('JSM Eingabe+TW'!$AB$7,$B75,$A75)</f>
        <v>72</v>
      </c>
      <c r="D75" s="212" t="str">
        <f>IF(LEN('JSM Eingabe+TW'!$H43)&gt;0,'JSM Eingabe+TW'!$H43,"")</f>
        <v/>
      </c>
      <c r="E75" s="841" t="str">
        <f>IF(LEN('JSM Eingabe+TW'!$I43)&gt;0,'JSM Eingabe+TW'!$I43,"")</f>
        <v/>
      </c>
    </row>
    <row r="76" spans="1:5" x14ac:dyDescent="0.2">
      <c r="A76" s="212">
        <v>13</v>
      </c>
      <c r="B76" s="212">
        <v>3</v>
      </c>
      <c r="C76" s="840">
        <f>DATE('JSM Eingabe+TW'!$AB$7,$B76,$A76)</f>
        <v>73</v>
      </c>
      <c r="D76" s="212" t="str">
        <f>IF(LEN('JSM Eingabe+TW'!$H44)&gt;0,'JSM Eingabe+TW'!$H44,"")</f>
        <v/>
      </c>
      <c r="E76" s="841" t="str">
        <f>IF(LEN('JSM Eingabe+TW'!$I44)&gt;0,'JSM Eingabe+TW'!$I44,"")</f>
        <v/>
      </c>
    </row>
    <row r="77" spans="1:5" x14ac:dyDescent="0.2">
      <c r="A77" s="212">
        <v>14</v>
      </c>
      <c r="B77" s="212">
        <v>3</v>
      </c>
      <c r="C77" s="840">
        <f>DATE('JSM Eingabe+TW'!$AB$7,$B77,$A77)</f>
        <v>74</v>
      </c>
      <c r="D77" s="212" t="str">
        <f>IF(LEN('JSM Eingabe+TW'!$H45)&gt;0,'JSM Eingabe+TW'!$H45,"")</f>
        <v/>
      </c>
      <c r="E77" s="841" t="str">
        <f>IF(LEN('JSM Eingabe+TW'!$I45)&gt;0,'JSM Eingabe+TW'!$I45,"")</f>
        <v/>
      </c>
    </row>
    <row r="78" spans="1:5" x14ac:dyDescent="0.2">
      <c r="A78" s="212">
        <v>15</v>
      </c>
      <c r="B78" s="212">
        <v>3</v>
      </c>
      <c r="C78" s="840">
        <f>DATE('JSM Eingabe+TW'!$AB$7,$B78,$A78)</f>
        <v>75</v>
      </c>
      <c r="D78" s="212" t="str">
        <f>IF(LEN('JSM Eingabe+TW'!$H46)&gt;0,'JSM Eingabe+TW'!$H46,"")</f>
        <v/>
      </c>
      <c r="E78" s="841" t="str">
        <f>IF(LEN('JSM Eingabe+TW'!$I46)&gt;0,'JSM Eingabe+TW'!$I46,"")</f>
        <v/>
      </c>
    </row>
    <row r="79" spans="1:5" x14ac:dyDescent="0.2">
      <c r="A79" s="212">
        <v>16</v>
      </c>
      <c r="B79" s="212">
        <v>3</v>
      </c>
      <c r="C79" s="840">
        <f>DATE('JSM Eingabe+TW'!$AB$7,$B79,$A79)</f>
        <v>76</v>
      </c>
      <c r="D79" s="212" t="str">
        <f>IF(LEN('JSM Eingabe+TW'!$H47)&gt;0,'JSM Eingabe+TW'!$H47,"")</f>
        <v/>
      </c>
      <c r="E79" s="841" t="str">
        <f>IF(LEN('JSM Eingabe+TW'!$I47)&gt;0,'JSM Eingabe+TW'!$I47,"")</f>
        <v/>
      </c>
    </row>
    <row r="80" spans="1:5" x14ac:dyDescent="0.2">
      <c r="A80" s="212">
        <v>17</v>
      </c>
      <c r="B80" s="212">
        <v>3</v>
      </c>
      <c r="C80" s="840">
        <f>DATE('JSM Eingabe+TW'!$AB$7,$B80,$A80)</f>
        <v>77</v>
      </c>
      <c r="D80" s="212" t="str">
        <f>IF(LEN('JSM Eingabe+TW'!$H48)&gt;0,'JSM Eingabe+TW'!$H48,"")</f>
        <v/>
      </c>
      <c r="E80" s="841" t="str">
        <f>IF(LEN('JSM Eingabe+TW'!$I48)&gt;0,'JSM Eingabe+TW'!$I48,"")</f>
        <v/>
      </c>
    </row>
    <row r="81" spans="1:5" x14ac:dyDescent="0.2">
      <c r="A81" s="212">
        <v>18</v>
      </c>
      <c r="B81" s="212">
        <v>3</v>
      </c>
      <c r="C81" s="840">
        <f>DATE('JSM Eingabe+TW'!$AB$7,$B81,$A81)</f>
        <v>78</v>
      </c>
      <c r="D81" s="212" t="str">
        <f>IF(LEN('JSM Eingabe+TW'!$H49)&gt;0,'JSM Eingabe+TW'!$H49,"")</f>
        <v/>
      </c>
      <c r="E81" s="841" t="str">
        <f>IF(LEN('JSM Eingabe+TW'!$I49)&gt;0,'JSM Eingabe+TW'!$I49,"")</f>
        <v/>
      </c>
    </row>
    <row r="82" spans="1:5" x14ac:dyDescent="0.2">
      <c r="A82" s="212">
        <v>19</v>
      </c>
      <c r="B82" s="212">
        <v>3</v>
      </c>
      <c r="C82" s="840">
        <f>DATE('JSM Eingabe+TW'!$AB$7,$B82,$A82)</f>
        <v>79</v>
      </c>
      <c r="D82" s="212" t="str">
        <f>IF(LEN('JSM Eingabe+TW'!$H50)&gt;0,'JSM Eingabe+TW'!$H50,"")</f>
        <v/>
      </c>
      <c r="E82" s="841" t="str">
        <f>IF(LEN('JSM Eingabe+TW'!$I50)&gt;0,'JSM Eingabe+TW'!$I50,"")</f>
        <v/>
      </c>
    </row>
    <row r="83" spans="1:5" x14ac:dyDescent="0.2">
      <c r="A83" s="212">
        <v>20</v>
      </c>
      <c r="B83" s="212">
        <v>3</v>
      </c>
      <c r="C83" s="840">
        <f>DATE('JSM Eingabe+TW'!$AB$7,$B83,$A83)</f>
        <v>80</v>
      </c>
      <c r="D83" s="212" t="str">
        <f>IF(LEN('JSM Eingabe+TW'!$H51)&gt;0,'JSM Eingabe+TW'!$H51,"")</f>
        <v/>
      </c>
      <c r="E83" s="841" t="str">
        <f>IF(LEN('JSM Eingabe+TW'!$I51)&gt;0,'JSM Eingabe+TW'!$I51,"")</f>
        <v/>
      </c>
    </row>
    <row r="84" spans="1:5" x14ac:dyDescent="0.2">
      <c r="A84" s="212">
        <v>21</v>
      </c>
      <c r="B84" s="212">
        <v>3</v>
      </c>
      <c r="C84" s="840">
        <f>DATE('JSM Eingabe+TW'!$AB$7,$B84,$A84)</f>
        <v>81</v>
      </c>
      <c r="D84" s="212" t="str">
        <f>IF(LEN('JSM Eingabe+TW'!$H52)&gt;0,'JSM Eingabe+TW'!$H52,"")</f>
        <v/>
      </c>
      <c r="E84" s="841" t="str">
        <f>IF(LEN('JSM Eingabe+TW'!$I52)&gt;0,'JSM Eingabe+TW'!$I52,"")</f>
        <v/>
      </c>
    </row>
    <row r="85" spans="1:5" x14ac:dyDescent="0.2">
      <c r="A85" s="212">
        <v>22</v>
      </c>
      <c r="B85" s="212">
        <v>3</v>
      </c>
      <c r="C85" s="840">
        <f>DATE('JSM Eingabe+TW'!$AB$7,$B85,$A85)</f>
        <v>82</v>
      </c>
      <c r="D85" s="212" t="str">
        <f>IF(LEN('JSM Eingabe+TW'!$H53)&gt;0,'JSM Eingabe+TW'!$H53,"")</f>
        <v/>
      </c>
      <c r="E85" s="841" t="str">
        <f>IF(LEN('JSM Eingabe+TW'!$I53)&gt;0,'JSM Eingabe+TW'!$I53,"")</f>
        <v/>
      </c>
    </row>
    <row r="86" spans="1:5" x14ac:dyDescent="0.2">
      <c r="A86" s="212">
        <v>23</v>
      </c>
      <c r="B86" s="212">
        <v>3</v>
      </c>
      <c r="C86" s="840">
        <f>DATE('JSM Eingabe+TW'!$AB$7,$B86,$A86)</f>
        <v>83</v>
      </c>
      <c r="D86" s="212" t="str">
        <f>IF(LEN('JSM Eingabe+TW'!$H54)&gt;0,'JSM Eingabe+TW'!$H54,"")</f>
        <v/>
      </c>
      <c r="E86" s="841" t="str">
        <f>IF(LEN('JSM Eingabe+TW'!$I54)&gt;0,'JSM Eingabe+TW'!$I54,"")</f>
        <v/>
      </c>
    </row>
    <row r="87" spans="1:5" x14ac:dyDescent="0.2">
      <c r="A87" s="212">
        <v>24</v>
      </c>
      <c r="B87" s="212">
        <v>3</v>
      </c>
      <c r="C87" s="840">
        <f>DATE('JSM Eingabe+TW'!$AB$7,$B87,$A87)</f>
        <v>84</v>
      </c>
      <c r="D87" s="212" t="str">
        <f>IF(LEN('JSM Eingabe+TW'!$H55)&gt;0,'JSM Eingabe+TW'!$H55,"")</f>
        <v/>
      </c>
      <c r="E87" s="841" t="str">
        <f>IF(LEN('JSM Eingabe+TW'!$I55)&gt;0,'JSM Eingabe+TW'!$I55,"")</f>
        <v/>
      </c>
    </row>
    <row r="88" spans="1:5" x14ac:dyDescent="0.2">
      <c r="A88" s="212">
        <v>25</v>
      </c>
      <c r="B88" s="212">
        <v>3</v>
      </c>
      <c r="C88" s="840">
        <f>DATE('JSM Eingabe+TW'!$AB$7,$B88,$A88)</f>
        <v>85</v>
      </c>
      <c r="D88" s="212" t="str">
        <f>IF(LEN('JSM Eingabe+TW'!$H56)&gt;0,'JSM Eingabe+TW'!$H56,"")</f>
        <v/>
      </c>
      <c r="E88" s="841" t="str">
        <f>IF(LEN('JSM Eingabe+TW'!$I56)&gt;0,'JSM Eingabe+TW'!$I56,"")</f>
        <v/>
      </c>
    </row>
    <row r="89" spans="1:5" x14ac:dyDescent="0.2">
      <c r="A89" s="212">
        <v>26</v>
      </c>
      <c r="B89" s="212">
        <v>3</v>
      </c>
      <c r="C89" s="840">
        <f>DATE('JSM Eingabe+TW'!$AB$7,$B89,$A89)</f>
        <v>86</v>
      </c>
      <c r="D89" s="212" t="str">
        <f>IF(LEN('JSM Eingabe+TW'!$H57)&gt;0,'JSM Eingabe+TW'!$H57,"")</f>
        <v/>
      </c>
      <c r="E89" s="841" t="str">
        <f>IF(LEN('JSM Eingabe+TW'!$I57)&gt;0,'JSM Eingabe+TW'!$I57,"")</f>
        <v/>
      </c>
    </row>
    <row r="90" spans="1:5" x14ac:dyDescent="0.2">
      <c r="A90" s="212">
        <v>27</v>
      </c>
      <c r="B90" s="212">
        <v>3</v>
      </c>
      <c r="C90" s="840">
        <f>DATE('JSM Eingabe+TW'!$AB$7,$B90,$A90)</f>
        <v>87</v>
      </c>
      <c r="D90" s="212" t="str">
        <f>IF(LEN('JSM Eingabe+TW'!$H58)&gt;0,'JSM Eingabe+TW'!$H58,"")</f>
        <v/>
      </c>
      <c r="E90" s="841" t="str">
        <f>IF(LEN('JSM Eingabe+TW'!$I58)&gt;0,'JSM Eingabe+TW'!$I58,"")</f>
        <v/>
      </c>
    </row>
    <row r="91" spans="1:5" x14ac:dyDescent="0.2">
      <c r="A91" s="212">
        <v>28</v>
      </c>
      <c r="B91" s="212">
        <v>3</v>
      </c>
      <c r="C91" s="840">
        <f>DATE('JSM Eingabe+TW'!$AB$7,$B91,$A91)</f>
        <v>88</v>
      </c>
      <c r="D91" s="212" t="str">
        <f>IF(LEN('JSM Eingabe+TW'!$H59)&gt;0,'JSM Eingabe+TW'!$H59,"")</f>
        <v/>
      </c>
      <c r="E91" s="841" t="str">
        <f>IF(LEN('JSM Eingabe+TW'!$I59)&gt;0,'JSM Eingabe+TW'!$I59,"")</f>
        <v/>
      </c>
    </row>
    <row r="92" spans="1:5" x14ac:dyDescent="0.2">
      <c r="A92" s="212">
        <v>29</v>
      </c>
      <c r="B92" s="212">
        <v>3</v>
      </c>
      <c r="C92" s="840">
        <f>DATE('JSM Eingabe+TW'!$AB$7,$B92,$A92)</f>
        <v>89</v>
      </c>
      <c r="D92" s="212" t="str">
        <f>IF(LEN('JSM Eingabe+TW'!$H60)&gt;0,'JSM Eingabe+TW'!$H60,"")</f>
        <v/>
      </c>
      <c r="E92" s="841" t="str">
        <f>IF(LEN('JSM Eingabe+TW'!$I60)&gt;0,'JSM Eingabe+TW'!$I60,"")</f>
        <v/>
      </c>
    </row>
    <row r="93" spans="1:5" x14ac:dyDescent="0.2">
      <c r="A93" s="212">
        <v>30</v>
      </c>
      <c r="B93" s="212">
        <v>3</v>
      </c>
      <c r="C93" s="840">
        <f>DATE('JSM Eingabe+TW'!$AB$7,$B93,$A93)</f>
        <v>90</v>
      </c>
      <c r="D93" s="212" t="str">
        <f>IF(LEN('JSM Eingabe+TW'!$H61)&gt;0,'JSM Eingabe+TW'!$H61,"")</f>
        <v/>
      </c>
      <c r="E93" s="841" t="str">
        <f>IF(LEN('JSM Eingabe+TW'!$I61)&gt;0,'JSM Eingabe+TW'!$I61,"")</f>
        <v/>
      </c>
    </row>
    <row r="94" spans="1:5" x14ac:dyDescent="0.2">
      <c r="A94" s="212">
        <v>31</v>
      </c>
      <c r="B94" s="212">
        <v>3</v>
      </c>
      <c r="C94" s="840">
        <f>DATE('JSM Eingabe+TW'!$AB$7,$B94,$A94)</f>
        <v>91</v>
      </c>
      <c r="D94" s="212" t="str">
        <f>IF(LEN('JSM Eingabe+TW'!$H62)&gt;0,'JSM Eingabe+TW'!$H62,"")</f>
        <v/>
      </c>
      <c r="E94" s="841" t="str">
        <f>IF(LEN('JSM Eingabe+TW'!$I62)&gt;0,'JSM Eingabe+TW'!$I62,"")</f>
        <v/>
      </c>
    </row>
    <row r="95" spans="1:5" x14ac:dyDescent="0.2">
      <c r="A95" s="212">
        <v>1</v>
      </c>
      <c r="B95" s="212">
        <v>4</v>
      </c>
      <c r="C95" s="840">
        <f>DATE('JSM Eingabe+TW'!$AB$7,$B95,$A95)</f>
        <v>92</v>
      </c>
      <c r="D95" s="212" t="str">
        <f>IF(LEN('JSM Eingabe+TW'!$J32)&gt;0,'JSM Eingabe+TW'!$J32,"")</f>
        <v/>
      </c>
      <c r="E95" s="841" t="str">
        <f>IF(LEN('JSM Eingabe+TW'!$K32)&gt;0,'JSM Eingabe+TW'!$K32,"")</f>
        <v/>
      </c>
    </row>
    <row r="96" spans="1:5" x14ac:dyDescent="0.2">
      <c r="A96" s="212">
        <v>2</v>
      </c>
      <c r="B96" s="212">
        <v>4</v>
      </c>
      <c r="C96" s="840">
        <f>DATE('JSM Eingabe+TW'!$AB$7,$B96,$A96)</f>
        <v>93</v>
      </c>
      <c r="D96" s="212" t="str">
        <f>IF(LEN('JSM Eingabe+TW'!$J33)&gt;0,'JSM Eingabe+TW'!$J33,"")</f>
        <v/>
      </c>
      <c r="E96" s="841" t="str">
        <f>IF(LEN('JSM Eingabe+TW'!$K33)&gt;0,'JSM Eingabe+TW'!$K33,"")</f>
        <v/>
      </c>
    </row>
    <row r="97" spans="1:5" x14ac:dyDescent="0.2">
      <c r="A97" s="212">
        <v>3</v>
      </c>
      <c r="B97" s="212">
        <v>4</v>
      </c>
      <c r="C97" s="840">
        <f>DATE('JSM Eingabe+TW'!$AB$7,$B97,$A97)</f>
        <v>94</v>
      </c>
      <c r="D97" s="212" t="str">
        <f>IF(LEN('JSM Eingabe+TW'!$J34)&gt;0,'JSM Eingabe+TW'!$J34,"")</f>
        <v/>
      </c>
      <c r="E97" s="841" t="str">
        <f>IF(LEN('JSM Eingabe+TW'!$K34)&gt;0,'JSM Eingabe+TW'!$K34,"")</f>
        <v/>
      </c>
    </row>
    <row r="98" spans="1:5" x14ac:dyDescent="0.2">
      <c r="A98" s="212">
        <v>4</v>
      </c>
      <c r="B98" s="212">
        <v>4</v>
      </c>
      <c r="C98" s="840">
        <f>DATE('JSM Eingabe+TW'!$AB$7,$B98,$A98)</f>
        <v>95</v>
      </c>
      <c r="D98" s="212" t="str">
        <f>IF(LEN('JSM Eingabe+TW'!$J35)&gt;0,'JSM Eingabe+TW'!$J35,"")</f>
        <v/>
      </c>
      <c r="E98" s="841" t="str">
        <f>IF(LEN('JSM Eingabe+TW'!$K35)&gt;0,'JSM Eingabe+TW'!$K35,"")</f>
        <v/>
      </c>
    </row>
    <row r="99" spans="1:5" x14ac:dyDescent="0.2">
      <c r="A99" s="212">
        <v>5</v>
      </c>
      <c r="B99" s="212">
        <v>4</v>
      </c>
      <c r="C99" s="840">
        <f>DATE('JSM Eingabe+TW'!$AB$7,$B99,$A99)</f>
        <v>96</v>
      </c>
      <c r="D99" s="212" t="str">
        <f>IF(LEN('JSM Eingabe+TW'!$J36)&gt;0,'JSM Eingabe+TW'!$J36,"")</f>
        <v/>
      </c>
      <c r="E99" s="841" t="str">
        <f>IF(LEN('JSM Eingabe+TW'!$K36)&gt;0,'JSM Eingabe+TW'!$K36,"")</f>
        <v/>
      </c>
    </row>
    <row r="100" spans="1:5" x14ac:dyDescent="0.2">
      <c r="A100" s="212">
        <v>6</v>
      </c>
      <c r="B100" s="212">
        <v>4</v>
      </c>
      <c r="C100" s="840">
        <f>DATE('JSM Eingabe+TW'!$AB$7,$B100,$A100)</f>
        <v>97</v>
      </c>
      <c r="D100" s="212" t="str">
        <f>IF(LEN('JSM Eingabe+TW'!$J37)&gt;0,'JSM Eingabe+TW'!$J37,"")</f>
        <v/>
      </c>
      <c r="E100" s="841" t="str">
        <f>IF(LEN('JSM Eingabe+TW'!$K37)&gt;0,'JSM Eingabe+TW'!$K37,"")</f>
        <v/>
      </c>
    </row>
    <row r="101" spans="1:5" x14ac:dyDescent="0.2">
      <c r="A101" s="212">
        <v>7</v>
      </c>
      <c r="B101" s="212">
        <v>4</v>
      </c>
      <c r="C101" s="840">
        <f>DATE('JSM Eingabe+TW'!$AB$7,$B101,$A101)</f>
        <v>98</v>
      </c>
      <c r="D101" s="212" t="str">
        <f>IF(LEN('JSM Eingabe+TW'!$J38)&gt;0,'JSM Eingabe+TW'!$J38,"")</f>
        <v/>
      </c>
      <c r="E101" s="841" t="str">
        <f>IF(LEN('JSM Eingabe+TW'!$K38)&gt;0,'JSM Eingabe+TW'!$K38,"")</f>
        <v/>
      </c>
    </row>
    <row r="102" spans="1:5" x14ac:dyDescent="0.2">
      <c r="A102" s="212">
        <v>8</v>
      </c>
      <c r="B102" s="212">
        <v>4</v>
      </c>
      <c r="C102" s="840">
        <f>DATE('JSM Eingabe+TW'!$AB$7,$B102,$A102)</f>
        <v>99</v>
      </c>
      <c r="D102" s="212" t="str">
        <f>IF(LEN('JSM Eingabe+TW'!$J39)&gt;0,'JSM Eingabe+TW'!$J39,"")</f>
        <v/>
      </c>
      <c r="E102" s="841" t="str">
        <f>IF(LEN('JSM Eingabe+TW'!$K39)&gt;0,'JSM Eingabe+TW'!$K39,"")</f>
        <v/>
      </c>
    </row>
    <row r="103" spans="1:5" x14ac:dyDescent="0.2">
      <c r="A103" s="212">
        <v>9</v>
      </c>
      <c r="B103" s="212">
        <v>4</v>
      </c>
      <c r="C103" s="840">
        <f>DATE('JSM Eingabe+TW'!$AB$7,$B103,$A103)</f>
        <v>100</v>
      </c>
      <c r="D103" s="212" t="str">
        <f>IF(LEN('JSM Eingabe+TW'!$J40)&gt;0,'JSM Eingabe+TW'!$J40,"")</f>
        <v/>
      </c>
      <c r="E103" s="841" t="str">
        <f>IF(LEN('JSM Eingabe+TW'!$K40)&gt;0,'JSM Eingabe+TW'!$K40,"")</f>
        <v/>
      </c>
    </row>
    <row r="104" spans="1:5" x14ac:dyDescent="0.2">
      <c r="A104" s="212">
        <v>10</v>
      </c>
      <c r="B104" s="212">
        <v>4</v>
      </c>
      <c r="C104" s="840">
        <f>DATE('JSM Eingabe+TW'!$AB$7,$B104,$A104)</f>
        <v>101</v>
      </c>
      <c r="D104" s="212" t="str">
        <f>IF(LEN('JSM Eingabe+TW'!$J41)&gt;0,'JSM Eingabe+TW'!$J41,"")</f>
        <v/>
      </c>
      <c r="E104" s="841" t="str">
        <f>IF(LEN('JSM Eingabe+TW'!$K41)&gt;0,'JSM Eingabe+TW'!$K41,"")</f>
        <v/>
      </c>
    </row>
    <row r="105" spans="1:5" x14ac:dyDescent="0.2">
      <c r="A105" s="212">
        <v>11</v>
      </c>
      <c r="B105" s="212">
        <v>4</v>
      </c>
      <c r="C105" s="840">
        <f>DATE('JSM Eingabe+TW'!$AB$7,$B105,$A105)</f>
        <v>102</v>
      </c>
      <c r="D105" s="212" t="str">
        <f>IF(LEN('JSM Eingabe+TW'!$J42)&gt;0,'JSM Eingabe+TW'!$J42,"")</f>
        <v/>
      </c>
      <c r="E105" s="841" t="str">
        <f>IF(LEN('JSM Eingabe+TW'!$K42)&gt;0,'JSM Eingabe+TW'!$K42,"")</f>
        <v/>
      </c>
    </row>
    <row r="106" spans="1:5" x14ac:dyDescent="0.2">
      <c r="A106" s="212">
        <v>12</v>
      </c>
      <c r="B106" s="212">
        <v>4</v>
      </c>
      <c r="C106" s="840">
        <f>DATE('JSM Eingabe+TW'!$AB$7,$B106,$A106)</f>
        <v>103</v>
      </c>
      <c r="D106" s="212" t="str">
        <f>IF(LEN('JSM Eingabe+TW'!$J43)&gt;0,'JSM Eingabe+TW'!$J43,"")</f>
        <v/>
      </c>
      <c r="E106" s="841" t="str">
        <f>IF(LEN('JSM Eingabe+TW'!$K43)&gt;0,'JSM Eingabe+TW'!$K43,"")</f>
        <v/>
      </c>
    </row>
    <row r="107" spans="1:5" x14ac:dyDescent="0.2">
      <c r="A107" s="212">
        <v>13</v>
      </c>
      <c r="B107" s="212">
        <v>4</v>
      </c>
      <c r="C107" s="840">
        <f>DATE('JSM Eingabe+TW'!$AB$7,$B107,$A107)</f>
        <v>104</v>
      </c>
      <c r="D107" s="212" t="str">
        <f>IF(LEN('JSM Eingabe+TW'!$J44)&gt;0,'JSM Eingabe+TW'!$J44,"")</f>
        <v/>
      </c>
      <c r="E107" s="841" t="str">
        <f>IF(LEN('JSM Eingabe+TW'!$K44)&gt;0,'JSM Eingabe+TW'!$K44,"")</f>
        <v/>
      </c>
    </row>
    <row r="108" spans="1:5" x14ac:dyDescent="0.2">
      <c r="A108" s="212">
        <v>14</v>
      </c>
      <c r="B108" s="212">
        <v>4</v>
      </c>
      <c r="C108" s="840">
        <f>DATE('JSM Eingabe+TW'!$AB$7,$B108,$A108)</f>
        <v>105</v>
      </c>
      <c r="D108" s="212" t="str">
        <f>IF(LEN('JSM Eingabe+TW'!$J45)&gt;0,'JSM Eingabe+TW'!$J45,"")</f>
        <v/>
      </c>
      <c r="E108" s="841" t="str">
        <f>IF(LEN('JSM Eingabe+TW'!$K45)&gt;0,'JSM Eingabe+TW'!$K45,"")</f>
        <v/>
      </c>
    </row>
    <row r="109" spans="1:5" x14ac:dyDescent="0.2">
      <c r="A109" s="212">
        <v>15</v>
      </c>
      <c r="B109" s="212">
        <v>4</v>
      </c>
      <c r="C109" s="840">
        <f>DATE('JSM Eingabe+TW'!$AB$7,$B109,$A109)</f>
        <v>106</v>
      </c>
      <c r="D109" s="212" t="str">
        <f>IF(LEN('JSM Eingabe+TW'!$J46)&gt;0,'JSM Eingabe+TW'!$J46,"")</f>
        <v/>
      </c>
      <c r="E109" s="841" t="str">
        <f>IF(LEN('JSM Eingabe+TW'!$K46)&gt;0,'JSM Eingabe+TW'!$K46,"")</f>
        <v/>
      </c>
    </row>
    <row r="110" spans="1:5" x14ac:dyDescent="0.2">
      <c r="A110" s="212">
        <v>16</v>
      </c>
      <c r="B110" s="212">
        <v>4</v>
      </c>
      <c r="C110" s="840">
        <f>DATE('JSM Eingabe+TW'!$AB$7,$B110,$A110)</f>
        <v>107</v>
      </c>
      <c r="D110" s="212" t="str">
        <f>IF(LEN('JSM Eingabe+TW'!$J47)&gt;0,'JSM Eingabe+TW'!$J47,"")</f>
        <v/>
      </c>
      <c r="E110" s="841" t="str">
        <f>IF(LEN('JSM Eingabe+TW'!$K47)&gt;0,'JSM Eingabe+TW'!$K47,"")</f>
        <v/>
      </c>
    </row>
    <row r="111" spans="1:5" x14ac:dyDescent="0.2">
      <c r="A111" s="212">
        <v>17</v>
      </c>
      <c r="B111" s="212">
        <v>4</v>
      </c>
      <c r="C111" s="840">
        <f>DATE('JSM Eingabe+TW'!$AB$7,$B111,$A111)</f>
        <v>108</v>
      </c>
      <c r="D111" s="212" t="str">
        <f>IF(LEN('JSM Eingabe+TW'!$J48)&gt;0,'JSM Eingabe+TW'!$J48,"")</f>
        <v/>
      </c>
      <c r="E111" s="841" t="str">
        <f>IF(LEN('JSM Eingabe+TW'!$K48)&gt;0,'JSM Eingabe+TW'!$K48,"")</f>
        <v/>
      </c>
    </row>
    <row r="112" spans="1:5" x14ac:dyDescent="0.2">
      <c r="A112" s="212">
        <v>18</v>
      </c>
      <c r="B112" s="212">
        <v>4</v>
      </c>
      <c r="C112" s="840">
        <f>DATE('JSM Eingabe+TW'!$AB$7,$B112,$A112)</f>
        <v>109</v>
      </c>
      <c r="D112" s="212" t="str">
        <f>IF(LEN('JSM Eingabe+TW'!$J49)&gt;0,'JSM Eingabe+TW'!$J49,"")</f>
        <v/>
      </c>
      <c r="E112" s="841" t="str">
        <f>IF(LEN('JSM Eingabe+TW'!$K49)&gt;0,'JSM Eingabe+TW'!$K49,"")</f>
        <v/>
      </c>
    </row>
    <row r="113" spans="1:5" x14ac:dyDescent="0.2">
      <c r="A113" s="212">
        <v>19</v>
      </c>
      <c r="B113" s="212">
        <v>4</v>
      </c>
      <c r="C113" s="840">
        <f>DATE('JSM Eingabe+TW'!$AB$7,$B113,$A113)</f>
        <v>110</v>
      </c>
      <c r="D113" s="212" t="str">
        <f>IF(LEN('JSM Eingabe+TW'!$J50)&gt;0,'JSM Eingabe+TW'!$J50,"")</f>
        <v/>
      </c>
      <c r="E113" s="841" t="str">
        <f>IF(LEN('JSM Eingabe+TW'!$K50)&gt;0,'JSM Eingabe+TW'!$K50,"")</f>
        <v/>
      </c>
    </row>
    <row r="114" spans="1:5" x14ac:dyDescent="0.2">
      <c r="A114" s="212">
        <v>20</v>
      </c>
      <c r="B114" s="212">
        <v>4</v>
      </c>
      <c r="C114" s="840">
        <f>DATE('JSM Eingabe+TW'!$AB$7,$B114,$A114)</f>
        <v>111</v>
      </c>
      <c r="D114" s="212" t="str">
        <f>IF(LEN('JSM Eingabe+TW'!$J51)&gt;0,'JSM Eingabe+TW'!$J51,"")</f>
        <v/>
      </c>
      <c r="E114" s="841" t="str">
        <f>IF(LEN('JSM Eingabe+TW'!$K51)&gt;0,'JSM Eingabe+TW'!$K51,"")</f>
        <v/>
      </c>
    </row>
    <row r="115" spans="1:5" x14ac:dyDescent="0.2">
      <c r="A115" s="212">
        <v>21</v>
      </c>
      <c r="B115" s="212">
        <v>4</v>
      </c>
      <c r="C115" s="840">
        <f>DATE('JSM Eingabe+TW'!$AB$7,$B115,$A115)</f>
        <v>112</v>
      </c>
      <c r="D115" s="212" t="str">
        <f>IF(LEN('JSM Eingabe+TW'!$J52)&gt;0,'JSM Eingabe+TW'!$J52,"")</f>
        <v/>
      </c>
      <c r="E115" s="841" t="str">
        <f>IF(LEN('JSM Eingabe+TW'!$K52)&gt;0,'JSM Eingabe+TW'!$K52,"")</f>
        <v/>
      </c>
    </row>
    <row r="116" spans="1:5" x14ac:dyDescent="0.2">
      <c r="A116" s="212">
        <v>22</v>
      </c>
      <c r="B116" s="212">
        <v>4</v>
      </c>
      <c r="C116" s="840">
        <f>DATE('JSM Eingabe+TW'!$AB$7,$B116,$A116)</f>
        <v>113</v>
      </c>
      <c r="D116" s="212" t="str">
        <f>IF(LEN('JSM Eingabe+TW'!$J53)&gt;0,'JSM Eingabe+TW'!$J53,"")</f>
        <v/>
      </c>
      <c r="E116" s="841" t="str">
        <f>IF(LEN('JSM Eingabe+TW'!$K53)&gt;0,'JSM Eingabe+TW'!$K53,"")</f>
        <v/>
      </c>
    </row>
    <row r="117" spans="1:5" x14ac:dyDescent="0.2">
      <c r="A117" s="212">
        <v>23</v>
      </c>
      <c r="B117" s="212">
        <v>4</v>
      </c>
      <c r="C117" s="840">
        <f>DATE('JSM Eingabe+TW'!$AB$7,$B117,$A117)</f>
        <v>114</v>
      </c>
      <c r="D117" s="212" t="str">
        <f>IF(LEN('JSM Eingabe+TW'!$J54)&gt;0,'JSM Eingabe+TW'!$J54,"")</f>
        <v/>
      </c>
      <c r="E117" s="841" t="str">
        <f>IF(LEN('JSM Eingabe+TW'!$K54)&gt;0,'JSM Eingabe+TW'!$K54,"")</f>
        <v/>
      </c>
    </row>
    <row r="118" spans="1:5" x14ac:dyDescent="0.2">
      <c r="A118" s="212">
        <v>24</v>
      </c>
      <c r="B118" s="212">
        <v>4</v>
      </c>
      <c r="C118" s="840">
        <f>DATE('JSM Eingabe+TW'!$AB$7,$B118,$A118)</f>
        <v>115</v>
      </c>
      <c r="D118" s="212" t="str">
        <f>IF(LEN('JSM Eingabe+TW'!$J55)&gt;0,'JSM Eingabe+TW'!$J55,"")</f>
        <v/>
      </c>
      <c r="E118" s="841" t="str">
        <f>IF(LEN('JSM Eingabe+TW'!$K55)&gt;0,'JSM Eingabe+TW'!$K55,"")</f>
        <v/>
      </c>
    </row>
    <row r="119" spans="1:5" x14ac:dyDescent="0.2">
      <c r="A119" s="212">
        <v>25</v>
      </c>
      <c r="B119" s="212">
        <v>4</v>
      </c>
      <c r="C119" s="840">
        <f>DATE('JSM Eingabe+TW'!$AB$7,$B119,$A119)</f>
        <v>116</v>
      </c>
      <c r="D119" s="212" t="str">
        <f>IF(LEN('JSM Eingabe+TW'!$J56)&gt;0,'JSM Eingabe+TW'!$J56,"")</f>
        <v/>
      </c>
      <c r="E119" s="841" t="str">
        <f>IF(LEN('JSM Eingabe+TW'!$K56)&gt;0,'JSM Eingabe+TW'!$K56,"")</f>
        <v/>
      </c>
    </row>
    <row r="120" spans="1:5" x14ac:dyDescent="0.2">
      <c r="A120" s="212">
        <v>26</v>
      </c>
      <c r="B120" s="212">
        <v>4</v>
      </c>
      <c r="C120" s="840">
        <f>DATE('JSM Eingabe+TW'!$AB$7,$B120,$A120)</f>
        <v>117</v>
      </c>
      <c r="D120" s="212" t="str">
        <f>IF(LEN('JSM Eingabe+TW'!$J57)&gt;0,'JSM Eingabe+TW'!$J57,"")</f>
        <v/>
      </c>
      <c r="E120" s="841" t="str">
        <f>IF(LEN('JSM Eingabe+TW'!$K57)&gt;0,'JSM Eingabe+TW'!$K57,"")</f>
        <v/>
      </c>
    </row>
    <row r="121" spans="1:5" x14ac:dyDescent="0.2">
      <c r="A121" s="212">
        <v>27</v>
      </c>
      <c r="B121" s="212">
        <v>4</v>
      </c>
      <c r="C121" s="840">
        <f>DATE('JSM Eingabe+TW'!$AB$7,$B121,$A121)</f>
        <v>118</v>
      </c>
      <c r="D121" s="212" t="str">
        <f>IF(LEN('JSM Eingabe+TW'!$J58)&gt;0,'JSM Eingabe+TW'!$J58,"")</f>
        <v/>
      </c>
      <c r="E121" s="841" t="str">
        <f>IF(LEN('JSM Eingabe+TW'!$K58)&gt;0,'JSM Eingabe+TW'!$K58,"")</f>
        <v/>
      </c>
    </row>
    <row r="122" spans="1:5" x14ac:dyDescent="0.2">
      <c r="A122" s="212">
        <v>28</v>
      </c>
      <c r="B122" s="212">
        <v>4</v>
      </c>
      <c r="C122" s="840">
        <f>DATE('JSM Eingabe+TW'!$AB$7,$B122,$A122)</f>
        <v>119</v>
      </c>
      <c r="D122" s="212" t="str">
        <f>IF(LEN('JSM Eingabe+TW'!$J59)&gt;0,'JSM Eingabe+TW'!$J59,"")</f>
        <v/>
      </c>
      <c r="E122" s="841" t="str">
        <f>IF(LEN('JSM Eingabe+TW'!$K59)&gt;0,'JSM Eingabe+TW'!$K59,"")</f>
        <v/>
      </c>
    </row>
    <row r="123" spans="1:5" x14ac:dyDescent="0.2">
      <c r="A123" s="212">
        <v>29</v>
      </c>
      <c r="B123" s="212">
        <v>4</v>
      </c>
      <c r="C123" s="840">
        <f>DATE('JSM Eingabe+TW'!$AB$7,$B123,$A123)</f>
        <v>120</v>
      </c>
      <c r="D123" s="212" t="str">
        <f>IF(LEN('JSM Eingabe+TW'!$J60)&gt;0,'JSM Eingabe+TW'!$J60,"")</f>
        <v/>
      </c>
      <c r="E123" s="841" t="str">
        <f>IF(LEN('JSM Eingabe+TW'!$K60)&gt;0,'JSM Eingabe+TW'!$K60,"")</f>
        <v/>
      </c>
    </row>
    <row r="124" spans="1:5" x14ac:dyDescent="0.2">
      <c r="A124" s="212">
        <v>30</v>
      </c>
      <c r="B124" s="212">
        <v>4</v>
      </c>
      <c r="C124" s="840">
        <f>DATE('JSM Eingabe+TW'!$AB$7,$B124,$A124)</f>
        <v>121</v>
      </c>
      <c r="D124" s="212" t="str">
        <f>IF(LEN('JSM Eingabe+TW'!$J61)&gt;0,'JSM Eingabe+TW'!$J61,"")</f>
        <v/>
      </c>
      <c r="E124" s="841" t="str">
        <f>IF(LEN('JSM Eingabe+TW'!$K61)&gt;0,'JSM Eingabe+TW'!$K61,"")</f>
        <v/>
      </c>
    </row>
    <row r="125" spans="1:5" x14ac:dyDescent="0.2">
      <c r="A125" s="212">
        <v>1</v>
      </c>
      <c r="B125" s="212">
        <v>5</v>
      </c>
      <c r="C125" s="840">
        <f>DATE('JSM Eingabe+TW'!$AB$7,$B125,$A125)</f>
        <v>122</v>
      </c>
      <c r="D125" s="212" t="str">
        <f>IF(LEN('JSM Eingabe+TW'!$L32)&gt;0,'JSM Eingabe+TW'!$L32,"")</f>
        <v/>
      </c>
      <c r="E125" s="841" t="str">
        <f>IF(LEN('JSM Eingabe+TW'!$M32)&gt;0,'JSM Eingabe+TW'!$M32,"")</f>
        <v/>
      </c>
    </row>
    <row r="126" spans="1:5" x14ac:dyDescent="0.2">
      <c r="A126" s="212">
        <v>2</v>
      </c>
      <c r="B126" s="212">
        <v>5</v>
      </c>
      <c r="C126" s="840">
        <f>DATE('JSM Eingabe+TW'!$AB$7,$B126,$A126)</f>
        <v>123</v>
      </c>
      <c r="D126" s="212" t="str">
        <f>IF(LEN('JSM Eingabe+TW'!$L33)&gt;0,'JSM Eingabe+TW'!$L33,"")</f>
        <v/>
      </c>
      <c r="E126" s="841" t="str">
        <f>IF(LEN('JSM Eingabe+TW'!$M33)&gt;0,'JSM Eingabe+TW'!$M33,"")</f>
        <v/>
      </c>
    </row>
    <row r="127" spans="1:5" x14ac:dyDescent="0.2">
      <c r="A127" s="212">
        <v>3</v>
      </c>
      <c r="B127" s="212">
        <v>5</v>
      </c>
      <c r="C127" s="840">
        <f>DATE('JSM Eingabe+TW'!$AB$7,$B127,$A127)</f>
        <v>124</v>
      </c>
      <c r="D127" s="212" t="str">
        <f>IF(LEN('JSM Eingabe+TW'!$L34)&gt;0,'JSM Eingabe+TW'!$L34,"")</f>
        <v/>
      </c>
      <c r="E127" s="841" t="str">
        <f>IF(LEN('JSM Eingabe+TW'!$M34)&gt;0,'JSM Eingabe+TW'!$M34,"")</f>
        <v/>
      </c>
    </row>
    <row r="128" spans="1:5" x14ac:dyDescent="0.2">
      <c r="A128" s="212">
        <v>4</v>
      </c>
      <c r="B128" s="212">
        <v>5</v>
      </c>
      <c r="C128" s="840">
        <f>DATE('JSM Eingabe+TW'!$AB$7,$B128,$A128)</f>
        <v>125</v>
      </c>
      <c r="D128" s="212" t="str">
        <f>IF(LEN('JSM Eingabe+TW'!$L35)&gt;0,'JSM Eingabe+TW'!$L35,"")</f>
        <v/>
      </c>
      <c r="E128" s="841" t="str">
        <f>IF(LEN('JSM Eingabe+TW'!$M35)&gt;0,'JSM Eingabe+TW'!$M35,"")</f>
        <v/>
      </c>
    </row>
    <row r="129" spans="1:5" x14ac:dyDescent="0.2">
      <c r="A129" s="212">
        <v>5</v>
      </c>
      <c r="B129" s="212">
        <v>5</v>
      </c>
      <c r="C129" s="840">
        <f>DATE('JSM Eingabe+TW'!$AB$7,$B129,$A129)</f>
        <v>126</v>
      </c>
      <c r="D129" s="212" t="str">
        <f>IF(LEN('JSM Eingabe+TW'!$L36)&gt;0,'JSM Eingabe+TW'!$L36,"")</f>
        <v/>
      </c>
      <c r="E129" s="841" t="str">
        <f>IF(LEN('JSM Eingabe+TW'!$M36)&gt;0,'JSM Eingabe+TW'!$M36,"")</f>
        <v/>
      </c>
    </row>
    <row r="130" spans="1:5" x14ac:dyDescent="0.2">
      <c r="A130" s="212">
        <v>6</v>
      </c>
      <c r="B130" s="212">
        <v>5</v>
      </c>
      <c r="C130" s="840">
        <f>DATE('JSM Eingabe+TW'!$AB$7,$B130,$A130)</f>
        <v>127</v>
      </c>
      <c r="D130" s="212" t="str">
        <f>IF(LEN('JSM Eingabe+TW'!$L37)&gt;0,'JSM Eingabe+TW'!$L37,"")</f>
        <v/>
      </c>
      <c r="E130" s="841" t="str">
        <f>IF(LEN('JSM Eingabe+TW'!$M37)&gt;0,'JSM Eingabe+TW'!$M37,"")</f>
        <v/>
      </c>
    </row>
    <row r="131" spans="1:5" x14ac:dyDescent="0.2">
      <c r="A131" s="212">
        <v>7</v>
      </c>
      <c r="B131" s="212">
        <v>5</v>
      </c>
      <c r="C131" s="840">
        <f>DATE('JSM Eingabe+TW'!$AB$7,$B131,$A131)</f>
        <v>128</v>
      </c>
      <c r="D131" s="212" t="str">
        <f>IF(LEN('JSM Eingabe+TW'!$L38)&gt;0,'JSM Eingabe+TW'!$L38,"")</f>
        <v/>
      </c>
      <c r="E131" s="841" t="str">
        <f>IF(LEN('JSM Eingabe+TW'!$M38)&gt;0,'JSM Eingabe+TW'!$M38,"")</f>
        <v/>
      </c>
    </row>
    <row r="132" spans="1:5" x14ac:dyDescent="0.2">
      <c r="A132" s="212">
        <v>8</v>
      </c>
      <c r="B132" s="212">
        <v>5</v>
      </c>
      <c r="C132" s="840">
        <f>DATE('JSM Eingabe+TW'!$AB$7,$B132,$A132)</f>
        <v>129</v>
      </c>
      <c r="D132" s="212" t="str">
        <f>IF(LEN('JSM Eingabe+TW'!$L39)&gt;0,'JSM Eingabe+TW'!$L39,"")</f>
        <v/>
      </c>
      <c r="E132" s="841" t="str">
        <f>IF(LEN('JSM Eingabe+TW'!$M39)&gt;0,'JSM Eingabe+TW'!$M39,"")</f>
        <v/>
      </c>
    </row>
    <row r="133" spans="1:5" x14ac:dyDescent="0.2">
      <c r="A133" s="212">
        <v>9</v>
      </c>
      <c r="B133" s="212">
        <v>5</v>
      </c>
      <c r="C133" s="840">
        <f>DATE('JSM Eingabe+TW'!$AB$7,$B133,$A133)</f>
        <v>130</v>
      </c>
      <c r="D133" s="212" t="str">
        <f>IF(LEN('JSM Eingabe+TW'!$L40)&gt;0,'JSM Eingabe+TW'!$L40,"")</f>
        <v/>
      </c>
      <c r="E133" s="841" t="str">
        <f>IF(LEN('JSM Eingabe+TW'!$M40)&gt;0,'JSM Eingabe+TW'!$M40,"")</f>
        <v/>
      </c>
    </row>
    <row r="134" spans="1:5" x14ac:dyDescent="0.2">
      <c r="A134" s="212">
        <v>10</v>
      </c>
      <c r="B134" s="212">
        <v>5</v>
      </c>
      <c r="C134" s="840">
        <f>DATE('JSM Eingabe+TW'!$AB$7,$B134,$A134)</f>
        <v>131</v>
      </c>
      <c r="D134" s="212" t="str">
        <f>IF(LEN('JSM Eingabe+TW'!$L41)&gt;0,'JSM Eingabe+TW'!$L41,"")</f>
        <v/>
      </c>
      <c r="E134" s="841" t="str">
        <f>IF(LEN('JSM Eingabe+TW'!$M41)&gt;0,'JSM Eingabe+TW'!$M41,"")</f>
        <v/>
      </c>
    </row>
    <row r="135" spans="1:5" x14ac:dyDescent="0.2">
      <c r="A135" s="212">
        <v>11</v>
      </c>
      <c r="B135" s="212">
        <v>5</v>
      </c>
      <c r="C135" s="840">
        <f>DATE('JSM Eingabe+TW'!$AB$7,$B135,$A135)</f>
        <v>132</v>
      </c>
      <c r="D135" s="212" t="str">
        <f>IF(LEN('JSM Eingabe+TW'!$L42)&gt;0,'JSM Eingabe+TW'!$L42,"")</f>
        <v/>
      </c>
      <c r="E135" s="841" t="str">
        <f>IF(LEN('JSM Eingabe+TW'!$M42)&gt;0,'JSM Eingabe+TW'!$M42,"")</f>
        <v/>
      </c>
    </row>
    <row r="136" spans="1:5" x14ac:dyDescent="0.2">
      <c r="A136" s="212">
        <v>12</v>
      </c>
      <c r="B136" s="212">
        <v>5</v>
      </c>
      <c r="C136" s="840">
        <f>DATE('JSM Eingabe+TW'!$AB$7,$B136,$A136)</f>
        <v>133</v>
      </c>
      <c r="D136" s="212" t="str">
        <f>IF(LEN('JSM Eingabe+TW'!$L43)&gt;0,'JSM Eingabe+TW'!$L43,"")</f>
        <v/>
      </c>
      <c r="E136" s="841" t="str">
        <f>IF(LEN('JSM Eingabe+TW'!$M43)&gt;0,'JSM Eingabe+TW'!$M43,"")</f>
        <v/>
      </c>
    </row>
    <row r="137" spans="1:5" x14ac:dyDescent="0.2">
      <c r="A137" s="212">
        <v>13</v>
      </c>
      <c r="B137" s="212">
        <v>5</v>
      </c>
      <c r="C137" s="840">
        <f>DATE('JSM Eingabe+TW'!$AB$7,$B137,$A137)</f>
        <v>134</v>
      </c>
      <c r="D137" s="212" t="str">
        <f>IF(LEN('JSM Eingabe+TW'!$L44)&gt;0,'JSM Eingabe+TW'!$L44,"")</f>
        <v/>
      </c>
      <c r="E137" s="841" t="str">
        <f>IF(LEN('JSM Eingabe+TW'!$M44)&gt;0,'JSM Eingabe+TW'!$M44,"")</f>
        <v/>
      </c>
    </row>
    <row r="138" spans="1:5" x14ac:dyDescent="0.2">
      <c r="A138" s="212">
        <v>14</v>
      </c>
      <c r="B138" s="212">
        <v>5</v>
      </c>
      <c r="C138" s="840">
        <f>DATE('JSM Eingabe+TW'!$AB$7,$B138,$A138)</f>
        <v>135</v>
      </c>
      <c r="D138" s="212" t="str">
        <f>IF(LEN('JSM Eingabe+TW'!$L45)&gt;0,'JSM Eingabe+TW'!$L45,"")</f>
        <v/>
      </c>
      <c r="E138" s="841" t="str">
        <f>IF(LEN('JSM Eingabe+TW'!$M45)&gt;0,'JSM Eingabe+TW'!$M45,"")</f>
        <v/>
      </c>
    </row>
    <row r="139" spans="1:5" x14ac:dyDescent="0.2">
      <c r="A139" s="212">
        <v>15</v>
      </c>
      <c r="B139" s="212">
        <v>5</v>
      </c>
      <c r="C139" s="840">
        <f>DATE('JSM Eingabe+TW'!$AB$7,$B139,$A139)</f>
        <v>136</v>
      </c>
      <c r="D139" s="212" t="str">
        <f>IF(LEN('JSM Eingabe+TW'!$L46)&gt;0,'JSM Eingabe+TW'!$L46,"")</f>
        <v/>
      </c>
      <c r="E139" s="841" t="str">
        <f>IF(LEN('JSM Eingabe+TW'!$M46)&gt;0,'JSM Eingabe+TW'!$M46,"")</f>
        <v/>
      </c>
    </row>
    <row r="140" spans="1:5" x14ac:dyDescent="0.2">
      <c r="A140" s="212">
        <v>16</v>
      </c>
      <c r="B140" s="212">
        <v>5</v>
      </c>
      <c r="C140" s="840">
        <f>DATE('JSM Eingabe+TW'!$AB$7,$B140,$A140)</f>
        <v>137</v>
      </c>
      <c r="D140" s="212" t="str">
        <f>IF(LEN('JSM Eingabe+TW'!$L47)&gt;0,'JSM Eingabe+TW'!$L47,"")</f>
        <v/>
      </c>
      <c r="E140" s="841" t="str">
        <f>IF(LEN('JSM Eingabe+TW'!$M47)&gt;0,'JSM Eingabe+TW'!$M47,"")</f>
        <v/>
      </c>
    </row>
    <row r="141" spans="1:5" x14ac:dyDescent="0.2">
      <c r="A141" s="212">
        <v>17</v>
      </c>
      <c r="B141" s="212">
        <v>5</v>
      </c>
      <c r="C141" s="840">
        <f>DATE('JSM Eingabe+TW'!$AB$7,$B141,$A141)</f>
        <v>138</v>
      </c>
      <c r="D141" s="212" t="str">
        <f>IF(LEN('JSM Eingabe+TW'!$L48)&gt;0,'JSM Eingabe+TW'!$L48,"")</f>
        <v/>
      </c>
      <c r="E141" s="841" t="str">
        <f>IF(LEN('JSM Eingabe+TW'!$M48)&gt;0,'JSM Eingabe+TW'!$M48,"")</f>
        <v/>
      </c>
    </row>
    <row r="142" spans="1:5" x14ac:dyDescent="0.2">
      <c r="A142" s="212">
        <v>18</v>
      </c>
      <c r="B142" s="212">
        <v>5</v>
      </c>
      <c r="C142" s="840">
        <f>DATE('JSM Eingabe+TW'!$AB$7,$B142,$A142)</f>
        <v>139</v>
      </c>
      <c r="D142" s="212" t="str">
        <f>IF(LEN('JSM Eingabe+TW'!$L49)&gt;0,'JSM Eingabe+TW'!$L49,"")</f>
        <v/>
      </c>
      <c r="E142" s="841" t="str">
        <f>IF(LEN('JSM Eingabe+TW'!$M49)&gt;0,'JSM Eingabe+TW'!$M49,"")</f>
        <v/>
      </c>
    </row>
    <row r="143" spans="1:5" x14ac:dyDescent="0.2">
      <c r="A143" s="212">
        <v>19</v>
      </c>
      <c r="B143" s="212">
        <v>5</v>
      </c>
      <c r="C143" s="840">
        <f>DATE('JSM Eingabe+TW'!$AB$7,$B143,$A143)</f>
        <v>140</v>
      </c>
      <c r="D143" s="212" t="str">
        <f>IF(LEN('JSM Eingabe+TW'!$L50)&gt;0,'JSM Eingabe+TW'!$L50,"")</f>
        <v/>
      </c>
      <c r="E143" s="841" t="str">
        <f>IF(LEN('JSM Eingabe+TW'!$M50)&gt;0,'JSM Eingabe+TW'!$M50,"")</f>
        <v/>
      </c>
    </row>
    <row r="144" spans="1:5" x14ac:dyDescent="0.2">
      <c r="A144" s="212">
        <v>20</v>
      </c>
      <c r="B144" s="212">
        <v>5</v>
      </c>
      <c r="C144" s="840">
        <f>DATE('JSM Eingabe+TW'!$AB$7,$B144,$A144)</f>
        <v>141</v>
      </c>
      <c r="D144" s="212" t="str">
        <f>IF(LEN('JSM Eingabe+TW'!$L51)&gt;0,'JSM Eingabe+TW'!$L51,"")</f>
        <v/>
      </c>
      <c r="E144" s="841" t="str">
        <f>IF(LEN('JSM Eingabe+TW'!$M51)&gt;0,'JSM Eingabe+TW'!$M51,"")</f>
        <v/>
      </c>
    </row>
    <row r="145" spans="1:5" x14ac:dyDescent="0.2">
      <c r="A145" s="212">
        <v>21</v>
      </c>
      <c r="B145" s="212">
        <v>5</v>
      </c>
      <c r="C145" s="840">
        <f>DATE('JSM Eingabe+TW'!$AB$7,$B145,$A145)</f>
        <v>142</v>
      </c>
      <c r="D145" s="212" t="str">
        <f>IF(LEN('JSM Eingabe+TW'!$L52)&gt;0,'JSM Eingabe+TW'!$L52,"")</f>
        <v/>
      </c>
      <c r="E145" s="841" t="str">
        <f>IF(LEN('JSM Eingabe+TW'!$M52)&gt;0,'JSM Eingabe+TW'!$M52,"")</f>
        <v/>
      </c>
    </row>
    <row r="146" spans="1:5" x14ac:dyDescent="0.2">
      <c r="A146" s="212">
        <v>22</v>
      </c>
      <c r="B146" s="212">
        <v>5</v>
      </c>
      <c r="C146" s="840">
        <f>DATE('JSM Eingabe+TW'!$AB$7,$B146,$A146)</f>
        <v>143</v>
      </c>
      <c r="D146" s="212" t="str">
        <f>IF(LEN('JSM Eingabe+TW'!$L53)&gt;0,'JSM Eingabe+TW'!$L53,"")</f>
        <v/>
      </c>
      <c r="E146" s="841" t="str">
        <f>IF(LEN('JSM Eingabe+TW'!$M53)&gt;0,'JSM Eingabe+TW'!$M53,"")</f>
        <v/>
      </c>
    </row>
    <row r="147" spans="1:5" x14ac:dyDescent="0.2">
      <c r="A147" s="212">
        <v>23</v>
      </c>
      <c r="B147" s="212">
        <v>5</v>
      </c>
      <c r="C147" s="840">
        <f>DATE('JSM Eingabe+TW'!$AB$7,$B147,$A147)</f>
        <v>144</v>
      </c>
      <c r="D147" s="212" t="str">
        <f>IF(LEN('JSM Eingabe+TW'!$L54)&gt;0,'JSM Eingabe+TW'!$L54,"")</f>
        <v/>
      </c>
      <c r="E147" s="841" t="str">
        <f>IF(LEN('JSM Eingabe+TW'!$M54)&gt;0,'JSM Eingabe+TW'!$M54,"")</f>
        <v/>
      </c>
    </row>
    <row r="148" spans="1:5" x14ac:dyDescent="0.2">
      <c r="A148" s="212">
        <v>24</v>
      </c>
      <c r="B148" s="212">
        <v>5</v>
      </c>
      <c r="C148" s="840">
        <f>DATE('JSM Eingabe+TW'!$AB$7,$B148,$A148)</f>
        <v>145</v>
      </c>
      <c r="D148" s="212" t="str">
        <f>IF(LEN('JSM Eingabe+TW'!$L55)&gt;0,'JSM Eingabe+TW'!$L55,"")</f>
        <v/>
      </c>
      <c r="E148" s="841" t="str">
        <f>IF(LEN('JSM Eingabe+TW'!$M55)&gt;0,'JSM Eingabe+TW'!$M55,"")</f>
        <v/>
      </c>
    </row>
    <row r="149" spans="1:5" x14ac:dyDescent="0.2">
      <c r="A149" s="212">
        <v>25</v>
      </c>
      <c r="B149" s="212">
        <v>5</v>
      </c>
      <c r="C149" s="840">
        <f>DATE('JSM Eingabe+TW'!$AB$7,$B149,$A149)</f>
        <v>146</v>
      </c>
      <c r="D149" s="212" t="str">
        <f>IF(LEN('JSM Eingabe+TW'!$L56)&gt;0,'JSM Eingabe+TW'!$L56,"")</f>
        <v/>
      </c>
      <c r="E149" s="841" t="str">
        <f>IF(LEN('JSM Eingabe+TW'!$M56)&gt;0,'JSM Eingabe+TW'!$M56,"")</f>
        <v/>
      </c>
    </row>
    <row r="150" spans="1:5" x14ac:dyDescent="0.2">
      <c r="A150" s="212">
        <v>26</v>
      </c>
      <c r="B150" s="212">
        <v>5</v>
      </c>
      <c r="C150" s="840">
        <f>DATE('JSM Eingabe+TW'!$AB$7,$B150,$A150)</f>
        <v>147</v>
      </c>
      <c r="D150" s="212" t="str">
        <f>IF(LEN('JSM Eingabe+TW'!$L57)&gt;0,'JSM Eingabe+TW'!$L57,"")</f>
        <v/>
      </c>
      <c r="E150" s="841" t="str">
        <f>IF(LEN('JSM Eingabe+TW'!$M57)&gt;0,'JSM Eingabe+TW'!$M57,"")</f>
        <v/>
      </c>
    </row>
    <row r="151" spans="1:5" x14ac:dyDescent="0.2">
      <c r="A151" s="212">
        <v>27</v>
      </c>
      <c r="B151" s="212">
        <v>5</v>
      </c>
      <c r="C151" s="840">
        <f>DATE('JSM Eingabe+TW'!$AB$7,$B151,$A151)</f>
        <v>148</v>
      </c>
      <c r="D151" s="212" t="str">
        <f>IF(LEN('JSM Eingabe+TW'!$L58)&gt;0,'JSM Eingabe+TW'!$L58,"")</f>
        <v/>
      </c>
      <c r="E151" s="841" t="str">
        <f>IF(LEN('JSM Eingabe+TW'!$M58)&gt;0,'JSM Eingabe+TW'!$M58,"")</f>
        <v/>
      </c>
    </row>
    <row r="152" spans="1:5" x14ac:dyDescent="0.2">
      <c r="A152" s="212">
        <v>28</v>
      </c>
      <c r="B152" s="212">
        <v>5</v>
      </c>
      <c r="C152" s="840">
        <f>DATE('JSM Eingabe+TW'!$AB$7,$B152,$A152)</f>
        <v>149</v>
      </c>
      <c r="D152" s="212" t="str">
        <f>IF(LEN('JSM Eingabe+TW'!$L59)&gt;0,'JSM Eingabe+TW'!$L59,"")</f>
        <v/>
      </c>
      <c r="E152" s="841" t="str">
        <f>IF(LEN('JSM Eingabe+TW'!$M59)&gt;0,'JSM Eingabe+TW'!$M59,"")</f>
        <v/>
      </c>
    </row>
    <row r="153" spans="1:5" x14ac:dyDescent="0.2">
      <c r="A153" s="212">
        <v>29</v>
      </c>
      <c r="B153" s="212">
        <v>5</v>
      </c>
      <c r="C153" s="840">
        <f>DATE('JSM Eingabe+TW'!$AB$7,$B153,$A153)</f>
        <v>150</v>
      </c>
      <c r="D153" s="212" t="str">
        <f>IF(LEN('JSM Eingabe+TW'!$L60)&gt;0,'JSM Eingabe+TW'!$L60,"")</f>
        <v/>
      </c>
      <c r="E153" s="841" t="str">
        <f>IF(LEN('JSM Eingabe+TW'!$M60)&gt;0,'JSM Eingabe+TW'!$M60,"")</f>
        <v/>
      </c>
    </row>
    <row r="154" spans="1:5" x14ac:dyDescent="0.2">
      <c r="A154" s="212">
        <v>30</v>
      </c>
      <c r="B154" s="212">
        <v>5</v>
      </c>
      <c r="C154" s="840">
        <f>DATE('JSM Eingabe+TW'!$AB$7,$B154,$A154)</f>
        <v>151</v>
      </c>
      <c r="D154" s="212" t="str">
        <f>IF(LEN('JSM Eingabe+TW'!$L61)&gt;0,'JSM Eingabe+TW'!$L61,"")</f>
        <v/>
      </c>
      <c r="E154" s="841" t="str">
        <f>IF(LEN('JSM Eingabe+TW'!$M61)&gt;0,'JSM Eingabe+TW'!$M61,"")</f>
        <v/>
      </c>
    </row>
    <row r="155" spans="1:5" x14ac:dyDescent="0.2">
      <c r="A155" s="212">
        <v>31</v>
      </c>
      <c r="B155" s="212">
        <v>5</v>
      </c>
      <c r="C155" s="840">
        <f>DATE('JSM Eingabe+TW'!$AB$7,$B155,$A155)</f>
        <v>152</v>
      </c>
      <c r="D155" s="212" t="str">
        <f>IF(LEN('JSM Eingabe+TW'!$L62)&gt;0,'JSM Eingabe+TW'!$L62,"")</f>
        <v/>
      </c>
      <c r="E155" s="841" t="str">
        <f>IF(LEN('JSM Eingabe+TW'!$M62)&gt;0,'JSM Eingabe+TW'!$M62,"")</f>
        <v/>
      </c>
    </row>
    <row r="156" spans="1:5" x14ac:dyDescent="0.2">
      <c r="A156" s="212">
        <v>1</v>
      </c>
      <c r="B156" s="212">
        <v>6</v>
      </c>
      <c r="C156" s="840">
        <f>DATE('JSM Eingabe+TW'!$AB$7,$B156,$A156)</f>
        <v>153</v>
      </c>
      <c r="D156" s="212" t="str">
        <f>IF(LEN('JSM Eingabe+TW'!$N32)&gt;0,'JSM Eingabe+TW'!$N32,"")</f>
        <v/>
      </c>
      <c r="E156" s="841" t="str">
        <f>IF(LEN('JSM Eingabe+TW'!$O32)&gt;0,'JSM Eingabe+TW'!$O32,"")</f>
        <v/>
      </c>
    </row>
    <row r="157" spans="1:5" x14ac:dyDescent="0.2">
      <c r="A157" s="212">
        <v>2</v>
      </c>
      <c r="B157" s="212">
        <v>6</v>
      </c>
      <c r="C157" s="840">
        <f>DATE('JSM Eingabe+TW'!$AB$7,$B157,$A157)</f>
        <v>154</v>
      </c>
      <c r="D157" s="212" t="str">
        <f>IF(LEN('JSM Eingabe+TW'!$N33)&gt;0,'JSM Eingabe+TW'!$N33,"")</f>
        <v/>
      </c>
      <c r="E157" s="841" t="str">
        <f>IF(LEN('JSM Eingabe+TW'!$O33)&gt;0,'JSM Eingabe+TW'!$O33,"")</f>
        <v/>
      </c>
    </row>
    <row r="158" spans="1:5" x14ac:dyDescent="0.2">
      <c r="A158" s="212">
        <v>3</v>
      </c>
      <c r="B158" s="212">
        <v>6</v>
      </c>
      <c r="C158" s="840">
        <f>DATE('JSM Eingabe+TW'!$AB$7,$B158,$A158)</f>
        <v>155</v>
      </c>
      <c r="D158" s="212" t="str">
        <f>IF(LEN('JSM Eingabe+TW'!$N34)&gt;0,'JSM Eingabe+TW'!$N34,"")</f>
        <v/>
      </c>
      <c r="E158" s="841" t="str">
        <f>IF(LEN('JSM Eingabe+TW'!$O34)&gt;0,'JSM Eingabe+TW'!$O34,"")</f>
        <v/>
      </c>
    </row>
    <row r="159" spans="1:5" x14ac:dyDescent="0.2">
      <c r="A159" s="212">
        <v>4</v>
      </c>
      <c r="B159" s="212">
        <v>6</v>
      </c>
      <c r="C159" s="840">
        <f>DATE('JSM Eingabe+TW'!$AB$7,$B159,$A159)</f>
        <v>156</v>
      </c>
      <c r="D159" s="212" t="str">
        <f>IF(LEN('JSM Eingabe+TW'!$N35)&gt;0,'JSM Eingabe+TW'!$N35,"")</f>
        <v/>
      </c>
      <c r="E159" s="841" t="str">
        <f>IF(LEN('JSM Eingabe+TW'!$O35)&gt;0,'JSM Eingabe+TW'!$O35,"")</f>
        <v/>
      </c>
    </row>
    <row r="160" spans="1:5" x14ac:dyDescent="0.2">
      <c r="A160" s="212">
        <v>5</v>
      </c>
      <c r="B160" s="212">
        <v>6</v>
      </c>
      <c r="C160" s="840">
        <f>DATE('JSM Eingabe+TW'!$AB$7,$B160,$A160)</f>
        <v>157</v>
      </c>
      <c r="D160" s="212" t="str">
        <f>IF(LEN('JSM Eingabe+TW'!$N36)&gt;0,'JSM Eingabe+TW'!$N36,"")</f>
        <v/>
      </c>
      <c r="E160" s="841" t="str">
        <f>IF(LEN('JSM Eingabe+TW'!$O36)&gt;0,'JSM Eingabe+TW'!$O36,"")</f>
        <v/>
      </c>
    </row>
    <row r="161" spans="1:5" x14ac:dyDescent="0.2">
      <c r="A161" s="212">
        <v>6</v>
      </c>
      <c r="B161" s="212">
        <v>6</v>
      </c>
      <c r="C161" s="840">
        <f>DATE('JSM Eingabe+TW'!$AB$7,$B161,$A161)</f>
        <v>158</v>
      </c>
      <c r="D161" s="212" t="str">
        <f>IF(LEN('JSM Eingabe+TW'!$N37)&gt;0,'JSM Eingabe+TW'!$N37,"")</f>
        <v/>
      </c>
      <c r="E161" s="841" t="str">
        <f>IF(LEN('JSM Eingabe+TW'!$O37)&gt;0,'JSM Eingabe+TW'!$O37,"")</f>
        <v/>
      </c>
    </row>
    <row r="162" spans="1:5" x14ac:dyDescent="0.2">
      <c r="A162" s="212">
        <v>7</v>
      </c>
      <c r="B162" s="212">
        <v>6</v>
      </c>
      <c r="C162" s="840">
        <f>DATE('JSM Eingabe+TW'!$AB$7,$B162,$A162)</f>
        <v>159</v>
      </c>
      <c r="D162" s="212" t="str">
        <f>IF(LEN('JSM Eingabe+TW'!$N38)&gt;0,'JSM Eingabe+TW'!$N38,"")</f>
        <v/>
      </c>
      <c r="E162" s="841" t="str">
        <f>IF(LEN('JSM Eingabe+TW'!$O38)&gt;0,'JSM Eingabe+TW'!$O38,"")</f>
        <v/>
      </c>
    </row>
    <row r="163" spans="1:5" x14ac:dyDescent="0.2">
      <c r="A163" s="212">
        <v>8</v>
      </c>
      <c r="B163" s="212">
        <v>6</v>
      </c>
      <c r="C163" s="840">
        <f>DATE('JSM Eingabe+TW'!$AB$7,$B163,$A163)</f>
        <v>160</v>
      </c>
      <c r="D163" s="212" t="str">
        <f>IF(LEN('JSM Eingabe+TW'!$N39)&gt;0,'JSM Eingabe+TW'!$N39,"")</f>
        <v/>
      </c>
      <c r="E163" s="841" t="str">
        <f>IF(LEN('JSM Eingabe+TW'!$O39)&gt;0,'JSM Eingabe+TW'!$O39,"")</f>
        <v/>
      </c>
    </row>
    <row r="164" spans="1:5" x14ac:dyDescent="0.2">
      <c r="A164" s="212">
        <v>9</v>
      </c>
      <c r="B164" s="212">
        <v>6</v>
      </c>
      <c r="C164" s="840">
        <f>DATE('JSM Eingabe+TW'!$AB$7,$B164,$A164)</f>
        <v>161</v>
      </c>
      <c r="D164" s="212" t="str">
        <f>IF(LEN('JSM Eingabe+TW'!$N40)&gt;0,'JSM Eingabe+TW'!$N40,"")</f>
        <v/>
      </c>
      <c r="E164" s="841" t="str">
        <f>IF(LEN('JSM Eingabe+TW'!$O40)&gt;0,'JSM Eingabe+TW'!$O40,"")</f>
        <v/>
      </c>
    </row>
    <row r="165" spans="1:5" x14ac:dyDescent="0.2">
      <c r="A165" s="212">
        <v>10</v>
      </c>
      <c r="B165" s="212">
        <v>6</v>
      </c>
      <c r="C165" s="840">
        <f>DATE('JSM Eingabe+TW'!$AB$7,$B165,$A165)</f>
        <v>162</v>
      </c>
      <c r="D165" s="212" t="str">
        <f>IF(LEN('JSM Eingabe+TW'!$N41)&gt;0,'JSM Eingabe+TW'!$N41,"")</f>
        <v/>
      </c>
      <c r="E165" s="841" t="str">
        <f>IF(LEN('JSM Eingabe+TW'!$O41)&gt;0,'JSM Eingabe+TW'!$O41,"")</f>
        <v/>
      </c>
    </row>
    <row r="166" spans="1:5" x14ac:dyDescent="0.2">
      <c r="A166" s="212">
        <v>11</v>
      </c>
      <c r="B166" s="212">
        <v>6</v>
      </c>
      <c r="C166" s="840">
        <f>DATE('JSM Eingabe+TW'!$AB$7,$B166,$A166)</f>
        <v>163</v>
      </c>
      <c r="D166" s="212" t="str">
        <f>IF(LEN('JSM Eingabe+TW'!$N42)&gt;0,'JSM Eingabe+TW'!$N42,"")</f>
        <v/>
      </c>
      <c r="E166" s="841" t="str">
        <f>IF(LEN('JSM Eingabe+TW'!$O42)&gt;0,'JSM Eingabe+TW'!$O42,"")</f>
        <v/>
      </c>
    </row>
    <row r="167" spans="1:5" x14ac:dyDescent="0.2">
      <c r="A167" s="212">
        <v>12</v>
      </c>
      <c r="B167" s="212">
        <v>6</v>
      </c>
      <c r="C167" s="840">
        <f>DATE('JSM Eingabe+TW'!$AB$7,$B167,$A167)</f>
        <v>164</v>
      </c>
      <c r="D167" s="212" t="str">
        <f>IF(LEN('JSM Eingabe+TW'!$N43)&gt;0,'JSM Eingabe+TW'!$N43,"")</f>
        <v/>
      </c>
      <c r="E167" s="841" t="str">
        <f>IF(LEN('JSM Eingabe+TW'!$O43)&gt;0,'JSM Eingabe+TW'!$O43,"")</f>
        <v/>
      </c>
    </row>
    <row r="168" spans="1:5" x14ac:dyDescent="0.2">
      <c r="A168" s="212">
        <v>13</v>
      </c>
      <c r="B168" s="212">
        <v>6</v>
      </c>
      <c r="C168" s="840">
        <f>DATE('JSM Eingabe+TW'!$AB$7,$B168,$A168)</f>
        <v>165</v>
      </c>
      <c r="D168" s="212" t="str">
        <f>IF(LEN('JSM Eingabe+TW'!$N44)&gt;0,'JSM Eingabe+TW'!$N44,"")</f>
        <v/>
      </c>
      <c r="E168" s="841" t="str">
        <f>IF(LEN('JSM Eingabe+TW'!$O44)&gt;0,'JSM Eingabe+TW'!$O44,"")</f>
        <v/>
      </c>
    </row>
    <row r="169" spans="1:5" x14ac:dyDescent="0.2">
      <c r="A169" s="212">
        <v>14</v>
      </c>
      <c r="B169" s="212">
        <v>6</v>
      </c>
      <c r="C169" s="840">
        <f>DATE('JSM Eingabe+TW'!$AB$7,$B169,$A169)</f>
        <v>166</v>
      </c>
      <c r="D169" s="212" t="str">
        <f>IF(LEN('JSM Eingabe+TW'!$N45)&gt;0,'JSM Eingabe+TW'!$N45,"")</f>
        <v/>
      </c>
      <c r="E169" s="841" t="str">
        <f>IF(LEN('JSM Eingabe+TW'!$O45)&gt;0,'JSM Eingabe+TW'!$O45,"")</f>
        <v/>
      </c>
    </row>
    <row r="170" spans="1:5" x14ac:dyDescent="0.2">
      <c r="A170" s="212">
        <v>15</v>
      </c>
      <c r="B170" s="212">
        <v>6</v>
      </c>
      <c r="C170" s="840">
        <f>DATE('JSM Eingabe+TW'!$AB$7,$B170,$A170)</f>
        <v>167</v>
      </c>
      <c r="D170" s="212" t="str">
        <f>IF(LEN('JSM Eingabe+TW'!$N46)&gt;0,'JSM Eingabe+TW'!$N46,"")</f>
        <v/>
      </c>
      <c r="E170" s="841" t="str">
        <f>IF(LEN('JSM Eingabe+TW'!$O46)&gt;0,'JSM Eingabe+TW'!$O46,"")</f>
        <v/>
      </c>
    </row>
    <row r="171" spans="1:5" x14ac:dyDescent="0.2">
      <c r="A171" s="212">
        <v>16</v>
      </c>
      <c r="B171" s="212">
        <v>6</v>
      </c>
      <c r="C171" s="840">
        <f>DATE('JSM Eingabe+TW'!$AB$7,$B171,$A171)</f>
        <v>168</v>
      </c>
      <c r="D171" s="212" t="str">
        <f>IF(LEN('JSM Eingabe+TW'!$N47)&gt;0,'JSM Eingabe+TW'!$N47,"")</f>
        <v/>
      </c>
      <c r="E171" s="841" t="str">
        <f>IF(LEN('JSM Eingabe+TW'!$O47)&gt;0,'JSM Eingabe+TW'!$O47,"")</f>
        <v/>
      </c>
    </row>
    <row r="172" spans="1:5" x14ac:dyDescent="0.2">
      <c r="A172" s="212">
        <v>17</v>
      </c>
      <c r="B172" s="212">
        <v>6</v>
      </c>
      <c r="C172" s="840">
        <f>DATE('JSM Eingabe+TW'!$AB$7,$B172,$A172)</f>
        <v>169</v>
      </c>
      <c r="D172" s="212" t="str">
        <f>IF(LEN('JSM Eingabe+TW'!$N48)&gt;0,'JSM Eingabe+TW'!$N48,"")</f>
        <v/>
      </c>
      <c r="E172" s="841" t="str">
        <f>IF(LEN('JSM Eingabe+TW'!$O48)&gt;0,'JSM Eingabe+TW'!$O48,"")</f>
        <v/>
      </c>
    </row>
    <row r="173" spans="1:5" x14ac:dyDescent="0.2">
      <c r="A173" s="212">
        <v>18</v>
      </c>
      <c r="B173" s="212">
        <v>6</v>
      </c>
      <c r="C173" s="840">
        <f>DATE('JSM Eingabe+TW'!$AB$7,$B173,$A173)</f>
        <v>170</v>
      </c>
      <c r="D173" s="212" t="str">
        <f>IF(LEN('JSM Eingabe+TW'!$N49)&gt;0,'JSM Eingabe+TW'!$N49,"")</f>
        <v/>
      </c>
      <c r="E173" s="841" t="str">
        <f>IF(LEN('JSM Eingabe+TW'!$O49)&gt;0,'JSM Eingabe+TW'!$O49,"")</f>
        <v/>
      </c>
    </row>
    <row r="174" spans="1:5" x14ac:dyDescent="0.2">
      <c r="A174" s="212">
        <v>19</v>
      </c>
      <c r="B174" s="212">
        <v>6</v>
      </c>
      <c r="C174" s="840">
        <f>DATE('JSM Eingabe+TW'!$AB$7,$B174,$A174)</f>
        <v>171</v>
      </c>
      <c r="D174" s="212" t="str">
        <f>IF(LEN('JSM Eingabe+TW'!$N50)&gt;0,'JSM Eingabe+TW'!$N50,"")</f>
        <v/>
      </c>
      <c r="E174" s="841" t="str">
        <f>IF(LEN('JSM Eingabe+TW'!$O50)&gt;0,'JSM Eingabe+TW'!$O50,"")</f>
        <v/>
      </c>
    </row>
    <row r="175" spans="1:5" x14ac:dyDescent="0.2">
      <c r="A175" s="212">
        <v>20</v>
      </c>
      <c r="B175" s="212">
        <v>6</v>
      </c>
      <c r="C175" s="840">
        <f>DATE('JSM Eingabe+TW'!$AB$7,$B175,$A175)</f>
        <v>172</v>
      </c>
      <c r="D175" s="212" t="str">
        <f>IF(LEN('JSM Eingabe+TW'!$N51)&gt;0,'JSM Eingabe+TW'!$N51,"")</f>
        <v/>
      </c>
      <c r="E175" s="841" t="str">
        <f>IF(LEN('JSM Eingabe+TW'!$O51)&gt;0,'JSM Eingabe+TW'!$O51,"")</f>
        <v/>
      </c>
    </row>
    <row r="176" spans="1:5" x14ac:dyDescent="0.2">
      <c r="A176" s="212">
        <v>21</v>
      </c>
      <c r="B176" s="212">
        <v>6</v>
      </c>
      <c r="C176" s="840">
        <f>DATE('JSM Eingabe+TW'!$AB$7,$B176,$A176)</f>
        <v>173</v>
      </c>
      <c r="D176" s="212" t="str">
        <f>IF(LEN('JSM Eingabe+TW'!$N52)&gt;0,'JSM Eingabe+TW'!$N52,"")</f>
        <v/>
      </c>
      <c r="E176" s="841" t="str">
        <f>IF(LEN('JSM Eingabe+TW'!$O52)&gt;0,'JSM Eingabe+TW'!$O52,"")</f>
        <v/>
      </c>
    </row>
    <row r="177" spans="1:5" x14ac:dyDescent="0.2">
      <c r="A177" s="212">
        <v>22</v>
      </c>
      <c r="B177" s="212">
        <v>6</v>
      </c>
      <c r="C177" s="840">
        <f>DATE('JSM Eingabe+TW'!$AB$7,$B177,$A177)</f>
        <v>174</v>
      </c>
      <c r="D177" s="212" t="str">
        <f>IF(LEN('JSM Eingabe+TW'!$N53)&gt;0,'JSM Eingabe+TW'!$N53,"")</f>
        <v/>
      </c>
      <c r="E177" s="841" t="str">
        <f>IF(LEN('JSM Eingabe+TW'!$O53)&gt;0,'JSM Eingabe+TW'!$O53,"")</f>
        <v/>
      </c>
    </row>
    <row r="178" spans="1:5" x14ac:dyDescent="0.2">
      <c r="A178" s="212">
        <v>23</v>
      </c>
      <c r="B178" s="212">
        <v>6</v>
      </c>
      <c r="C178" s="840">
        <f>DATE('JSM Eingabe+TW'!$AB$7,$B178,$A178)</f>
        <v>175</v>
      </c>
      <c r="D178" s="212" t="str">
        <f>IF(LEN('JSM Eingabe+TW'!$N54)&gt;0,'JSM Eingabe+TW'!$N54,"")</f>
        <v/>
      </c>
      <c r="E178" s="841" t="str">
        <f>IF(LEN('JSM Eingabe+TW'!$O54)&gt;0,'JSM Eingabe+TW'!$O54,"")</f>
        <v/>
      </c>
    </row>
    <row r="179" spans="1:5" x14ac:dyDescent="0.2">
      <c r="A179" s="212">
        <v>24</v>
      </c>
      <c r="B179" s="212">
        <v>6</v>
      </c>
      <c r="C179" s="840">
        <f>DATE('JSM Eingabe+TW'!$AB$7,$B179,$A179)</f>
        <v>176</v>
      </c>
      <c r="D179" s="212" t="str">
        <f>IF(LEN('JSM Eingabe+TW'!$N55)&gt;0,'JSM Eingabe+TW'!$N55,"")</f>
        <v/>
      </c>
      <c r="E179" s="841" t="str">
        <f>IF(LEN('JSM Eingabe+TW'!$O55)&gt;0,'JSM Eingabe+TW'!$O55,"")</f>
        <v/>
      </c>
    </row>
    <row r="180" spans="1:5" x14ac:dyDescent="0.2">
      <c r="A180" s="212">
        <v>25</v>
      </c>
      <c r="B180" s="212">
        <v>6</v>
      </c>
      <c r="C180" s="840">
        <f>DATE('JSM Eingabe+TW'!$AB$7,$B180,$A180)</f>
        <v>177</v>
      </c>
      <c r="D180" s="212" t="str">
        <f>IF(LEN('JSM Eingabe+TW'!$N56)&gt;0,'JSM Eingabe+TW'!$N56,"")</f>
        <v/>
      </c>
      <c r="E180" s="841" t="str">
        <f>IF(LEN('JSM Eingabe+TW'!$O56)&gt;0,'JSM Eingabe+TW'!$O56,"")</f>
        <v/>
      </c>
    </row>
    <row r="181" spans="1:5" x14ac:dyDescent="0.2">
      <c r="A181" s="212">
        <v>26</v>
      </c>
      <c r="B181" s="212">
        <v>6</v>
      </c>
      <c r="C181" s="840">
        <f>DATE('JSM Eingabe+TW'!$AB$7,$B181,$A181)</f>
        <v>178</v>
      </c>
      <c r="D181" s="212" t="str">
        <f>IF(LEN('JSM Eingabe+TW'!$N57)&gt;0,'JSM Eingabe+TW'!$N57,"")</f>
        <v/>
      </c>
      <c r="E181" s="841" t="str">
        <f>IF(LEN('JSM Eingabe+TW'!$O57)&gt;0,'JSM Eingabe+TW'!$O57,"")</f>
        <v/>
      </c>
    </row>
    <row r="182" spans="1:5" x14ac:dyDescent="0.2">
      <c r="A182" s="212">
        <v>27</v>
      </c>
      <c r="B182" s="212">
        <v>6</v>
      </c>
      <c r="C182" s="840">
        <f>DATE('JSM Eingabe+TW'!$AB$7,$B182,$A182)</f>
        <v>179</v>
      </c>
      <c r="D182" s="212" t="str">
        <f>IF(LEN('JSM Eingabe+TW'!$N58)&gt;0,'JSM Eingabe+TW'!$N58,"")</f>
        <v/>
      </c>
      <c r="E182" s="841" t="str">
        <f>IF(LEN('JSM Eingabe+TW'!$O58)&gt;0,'JSM Eingabe+TW'!$O58,"")</f>
        <v/>
      </c>
    </row>
    <row r="183" spans="1:5" x14ac:dyDescent="0.2">
      <c r="A183" s="212">
        <v>28</v>
      </c>
      <c r="B183" s="212">
        <v>6</v>
      </c>
      <c r="C183" s="840">
        <f>DATE('JSM Eingabe+TW'!$AB$7,$B183,$A183)</f>
        <v>180</v>
      </c>
      <c r="D183" s="212" t="str">
        <f>IF(LEN('JSM Eingabe+TW'!$N59)&gt;0,'JSM Eingabe+TW'!$N59,"")</f>
        <v/>
      </c>
      <c r="E183" s="841" t="str">
        <f>IF(LEN('JSM Eingabe+TW'!$O59)&gt;0,'JSM Eingabe+TW'!$O59,"")</f>
        <v/>
      </c>
    </row>
    <row r="184" spans="1:5" x14ac:dyDescent="0.2">
      <c r="A184" s="212">
        <v>29</v>
      </c>
      <c r="B184" s="212">
        <v>6</v>
      </c>
      <c r="C184" s="840">
        <f>DATE('JSM Eingabe+TW'!$AB$7,$B184,$A184)</f>
        <v>181</v>
      </c>
      <c r="D184" s="212" t="str">
        <f>IF(LEN('JSM Eingabe+TW'!$N60)&gt;0,'JSM Eingabe+TW'!$N60,"")</f>
        <v/>
      </c>
      <c r="E184" s="841" t="str">
        <f>IF(LEN('JSM Eingabe+TW'!$O60)&gt;0,'JSM Eingabe+TW'!$O60,"")</f>
        <v/>
      </c>
    </row>
    <row r="185" spans="1:5" x14ac:dyDescent="0.2">
      <c r="A185" s="212">
        <v>30</v>
      </c>
      <c r="B185" s="212">
        <v>6</v>
      </c>
      <c r="C185" s="840">
        <f>DATE('JSM Eingabe+TW'!$AB$7,$B185,$A185)</f>
        <v>182</v>
      </c>
      <c r="D185" s="212" t="str">
        <f>IF(LEN('JSM Eingabe+TW'!$N61)&gt;0,'JSM Eingabe+TW'!$N61,"")</f>
        <v/>
      </c>
      <c r="E185" s="841" t="str">
        <f>IF(LEN('JSM Eingabe+TW'!$O61)&gt;0,'JSM Eingabe+TW'!$O61,"")</f>
        <v/>
      </c>
    </row>
    <row r="186" spans="1:5" x14ac:dyDescent="0.2">
      <c r="A186" s="212">
        <v>1</v>
      </c>
      <c r="B186" s="212">
        <v>7</v>
      </c>
      <c r="C186" s="840">
        <f>DATE('JSM Eingabe+TW'!$AB$7,$B186,$A186)</f>
        <v>183</v>
      </c>
      <c r="D186" s="212" t="str">
        <f>IF(LEN('JSM Eingabe+TW'!$P32)&gt;0,'JSM Eingabe+TW'!$P32,"")</f>
        <v/>
      </c>
      <c r="E186" s="841" t="str">
        <f>IF(LEN('JSM Eingabe+TW'!$Q32)&gt;0,'JSM Eingabe+TW'!$Q32,"")</f>
        <v/>
      </c>
    </row>
    <row r="187" spans="1:5" x14ac:dyDescent="0.2">
      <c r="A187" s="212">
        <v>2</v>
      </c>
      <c r="B187" s="212">
        <v>7</v>
      </c>
      <c r="C187" s="840">
        <f>DATE('JSM Eingabe+TW'!$AB$7,$B187,$A187)</f>
        <v>184</v>
      </c>
      <c r="D187" s="212" t="str">
        <f>IF(LEN('JSM Eingabe+TW'!$P33)&gt;0,'JSM Eingabe+TW'!$P33,"")</f>
        <v/>
      </c>
      <c r="E187" s="841" t="str">
        <f>IF(LEN('JSM Eingabe+TW'!$Q33)&gt;0,'JSM Eingabe+TW'!$Q33,"")</f>
        <v/>
      </c>
    </row>
    <row r="188" spans="1:5" x14ac:dyDescent="0.2">
      <c r="A188" s="212">
        <v>3</v>
      </c>
      <c r="B188" s="212">
        <v>7</v>
      </c>
      <c r="C188" s="840">
        <f>DATE('JSM Eingabe+TW'!$AB$7,$B188,$A188)</f>
        <v>185</v>
      </c>
      <c r="D188" s="212" t="str">
        <f>IF(LEN('JSM Eingabe+TW'!$P34)&gt;0,'JSM Eingabe+TW'!$P34,"")</f>
        <v/>
      </c>
      <c r="E188" s="841" t="str">
        <f>IF(LEN('JSM Eingabe+TW'!$Q34)&gt;0,'JSM Eingabe+TW'!$Q34,"")</f>
        <v/>
      </c>
    </row>
    <row r="189" spans="1:5" x14ac:dyDescent="0.2">
      <c r="A189" s="212">
        <v>4</v>
      </c>
      <c r="B189" s="212">
        <v>7</v>
      </c>
      <c r="C189" s="840">
        <f>DATE('JSM Eingabe+TW'!$AB$7,$B189,$A189)</f>
        <v>186</v>
      </c>
      <c r="D189" s="212" t="str">
        <f>IF(LEN('JSM Eingabe+TW'!$P35)&gt;0,'JSM Eingabe+TW'!$P35,"")</f>
        <v/>
      </c>
      <c r="E189" s="841" t="str">
        <f>IF(LEN('JSM Eingabe+TW'!$Q35)&gt;0,'JSM Eingabe+TW'!$Q35,"")</f>
        <v/>
      </c>
    </row>
    <row r="190" spans="1:5" x14ac:dyDescent="0.2">
      <c r="A190" s="212">
        <v>5</v>
      </c>
      <c r="B190" s="212">
        <v>7</v>
      </c>
      <c r="C190" s="840">
        <f>DATE('JSM Eingabe+TW'!$AB$7,$B190,$A190)</f>
        <v>187</v>
      </c>
      <c r="D190" s="212" t="str">
        <f>IF(LEN('JSM Eingabe+TW'!$P36)&gt;0,'JSM Eingabe+TW'!$P36,"")</f>
        <v/>
      </c>
      <c r="E190" s="841" t="str">
        <f>IF(LEN('JSM Eingabe+TW'!$Q36)&gt;0,'JSM Eingabe+TW'!$Q36,"")</f>
        <v/>
      </c>
    </row>
    <row r="191" spans="1:5" x14ac:dyDescent="0.2">
      <c r="A191" s="212">
        <v>6</v>
      </c>
      <c r="B191" s="212">
        <v>7</v>
      </c>
      <c r="C191" s="840">
        <f>DATE('JSM Eingabe+TW'!$AB$7,$B191,$A191)</f>
        <v>188</v>
      </c>
      <c r="D191" s="212" t="str">
        <f>IF(LEN('JSM Eingabe+TW'!$P37)&gt;0,'JSM Eingabe+TW'!$P37,"")</f>
        <v/>
      </c>
      <c r="E191" s="841" t="str">
        <f>IF(LEN('JSM Eingabe+TW'!$Q37)&gt;0,'JSM Eingabe+TW'!$Q37,"")</f>
        <v/>
      </c>
    </row>
    <row r="192" spans="1:5" x14ac:dyDescent="0.2">
      <c r="A192" s="212">
        <v>7</v>
      </c>
      <c r="B192" s="212">
        <v>7</v>
      </c>
      <c r="C192" s="840">
        <f>DATE('JSM Eingabe+TW'!$AB$7,$B192,$A192)</f>
        <v>189</v>
      </c>
      <c r="D192" s="212" t="str">
        <f>IF(LEN('JSM Eingabe+TW'!$P38)&gt;0,'JSM Eingabe+TW'!$P38,"")</f>
        <v/>
      </c>
      <c r="E192" s="841" t="str">
        <f>IF(LEN('JSM Eingabe+TW'!$Q38)&gt;0,'JSM Eingabe+TW'!$Q38,"")</f>
        <v/>
      </c>
    </row>
    <row r="193" spans="1:5" x14ac:dyDescent="0.2">
      <c r="A193" s="212">
        <v>8</v>
      </c>
      <c r="B193" s="212">
        <v>7</v>
      </c>
      <c r="C193" s="840">
        <f>DATE('JSM Eingabe+TW'!$AB$7,$B193,$A193)</f>
        <v>190</v>
      </c>
      <c r="D193" s="212" t="str">
        <f>IF(LEN('JSM Eingabe+TW'!$P39)&gt;0,'JSM Eingabe+TW'!$P39,"")</f>
        <v/>
      </c>
      <c r="E193" s="841" t="str">
        <f>IF(LEN('JSM Eingabe+TW'!$Q39)&gt;0,'JSM Eingabe+TW'!$Q39,"")</f>
        <v/>
      </c>
    </row>
    <row r="194" spans="1:5" x14ac:dyDescent="0.2">
      <c r="A194" s="212">
        <v>9</v>
      </c>
      <c r="B194" s="212">
        <v>7</v>
      </c>
      <c r="C194" s="840">
        <f>DATE('JSM Eingabe+TW'!$AB$7,$B194,$A194)</f>
        <v>191</v>
      </c>
      <c r="D194" s="212" t="str">
        <f>IF(LEN('JSM Eingabe+TW'!$P40)&gt;0,'JSM Eingabe+TW'!$P40,"")</f>
        <v/>
      </c>
      <c r="E194" s="841" t="str">
        <f>IF(LEN('JSM Eingabe+TW'!$Q40)&gt;0,'JSM Eingabe+TW'!$Q40,"")</f>
        <v/>
      </c>
    </row>
    <row r="195" spans="1:5" x14ac:dyDescent="0.2">
      <c r="A195" s="212">
        <v>10</v>
      </c>
      <c r="B195" s="212">
        <v>7</v>
      </c>
      <c r="C195" s="840">
        <f>DATE('JSM Eingabe+TW'!$AB$7,$B195,$A195)</f>
        <v>192</v>
      </c>
      <c r="D195" s="212" t="str">
        <f>IF(LEN('JSM Eingabe+TW'!$P41)&gt;0,'JSM Eingabe+TW'!$P41,"")</f>
        <v/>
      </c>
      <c r="E195" s="841" t="str">
        <f>IF(LEN('JSM Eingabe+TW'!$Q41)&gt;0,'JSM Eingabe+TW'!$Q41,"")</f>
        <v/>
      </c>
    </row>
    <row r="196" spans="1:5" x14ac:dyDescent="0.2">
      <c r="A196" s="212">
        <v>11</v>
      </c>
      <c r="B196" s="212">
        <v>7</v>
      </c>
      <c r="C196" s="840">
        <f>DATE('JSM Eingabe+TW'!$AB$7,$B196,$A196)</f>
        <v>193</v>
      </c>
      <c r="D196" s="212" t="str">
        <f>IF(LEN('JSM Eingabe+TW'!$P42)&gt;0,'JSM Eingabe+TW'!$P42,"")</f>
        <v/>
      </c>
      <c r="E196" s="841" t="str">
        <f>IF(LEN('JSM Eingabe+TW'!$Q42)&gt;0,'JSM Eingabe+TW'!$Q42,"")</f>
        <v/>
      </c>
    </row>
    <row r="197" spans="1:5" x14ac:dyDescent="0.2">
      <c r="A197" s="212">
        <v>12</v>
      </c>
      <c r="B197" s="212">
        <v>7</v>
      </c>
      <c r="C197" s="840">
        <f>DATE('JSM Eingabe+TW'!$AB$7,$B197,$A197)</f>
        <v>194</v>
      </c>
      <c r="D197" s="212" t="str">
        <f>IF(LEN('JSM Eingabe+TW'!$P43)&gt;0,'JSM Eingabe+TW'!$P43,"")</f>
        <v/>
      </c>
      <c r="E197" s="841" t="str">
        <f>IF(LEN('JSM Eingabe+TW'!$Q43)&gt;0,'JSM Eingabe+TW'!$Q43,"")</f>
        <v/>
      </c>
    </row>
    <row r="198" spans="1:5" x14ac:dyDescent="0.2">
      <c r="A198" s="212">
        <v>13</v>
      </c>
      <c r="B198" s="212">
        <v>7</v>
      </c>
      <c r="C198" s="840">
        <f>DATE('JSM Eingabe+TW'!$AB$7,$B198,$A198)</f>
        <v>195</v>
      </c>
      <c r="D198" s="212" t="str">
        <f>IF(LEN('JSM Eingabe+TW'!$P44)&gt;0,'JSM Eingabe+TW'!$P44,"")</f>
        <v/>
      </c>
      <c r="E198" s="841" t="str">
        <f>IF(LEN('JSM Eingabe+TW'!$Q44)&gt;0,'JSM Eingabe+TW'!$Q44,"")</f>
        <v/>
      </c>
    </row>
    <row r="199" spans="1:5" x14ac:dyDescent="0.2">
      <c r="A199" s="212">
        <v>14</v>
      </c>
      <c r="B199" s="212">
        <v>7</v>
      </c>
      <c r="C199" s="840">
        <f>DATE('JSM Eingabe+TW'!$AB$7,$B199,$A199)</f>
        <v>196</v>
      </c>
      <c r="D199" s="212" t="str">
        <f>IF(LEN('JSM Eingabe+TW'!$P45)&gt;0,'JSM Eingabe+TW'!$P45,"")</f>
        <v/>
      </c>
      <c r="E199" s="841" t="str">
        <f>IF(LEN('JSM Eingabe+TW'!$Q45)&gt;0,'JSM Eingabe+TW'!$Q45,"")</f>
        <v/>
      </c>
    </row>
    <row r="200" spans="1:5" x14ac:dyDescent="0.2">
      <c r="A200" s="212">
        <v>15</v>
      </c>
      <c r="B200" s="212">
        <v>7</v>
      </c>
      <c r="C200" s="840">
        <f>DATE('JSM Eingabe+TW'!$AB$7,$B200,$A200)</f>
        <v>197</v>
      </c>
      <c r="D200" s="212" t="str">
        <f>IF(LEN('JSM Eingabe+TW'!$P46)&gt;0,'JSM Eingabe+TW'!$P46,"")</f>
        <v/>
      </c>
      <c r="E200" s="841" t="str">
        <f>IF(LEN('JSM Eingabe+TW'!$Q46)&gt;0,'JSM Eingabe+TW'!$Q46,"")</f>
        <v/>
      </c>
    </row>
    <row r="201" spans="1:5" x14ac:dyDescent="0.2">
      <c r="A201" s="212">
        <v>16</v>
      </c>
      <c r="B201" s="212">
        <v>7</v>
      </c>
      <c r="C201" s="840">
        <f>DATE('JSM Eingabe+TW'!$AB$7,$B201,$A201)</f>
        <v>198</v>
      </c>
      <c r="D201" s="212" t="str">
        <f>IF(LEN('JSM Eingabe+TW'!$P47)&gt;0,'JSM Eingabe+TW'!$P47,"")</f>
        <v/>
      </c>
      <c r="E201" s="841" t="str">
        <f>IF(LEN('JSM Eingabe+TW'!$Q47)&gt;0,'JSM Eingabe+TW'!$Q47,"")</f>
        <v/>
      </c>
    </row>
    <row r="202" spans="1:5" x14ac:dyDescent="0.2">
      <c r="A202" s="212">
        <v>17</v>
      </c>
      <c r="B202" s="212">
        <v>7</v>
      </c>
      <c r="C202" s="840">
        <f>DATE('JSM Eingabe+TW'!$AB$7,$B202,$A202)</f>
        <v>199</v>
      </c>
      <c r="D202" s="212" t="str">
        <f>IF(LEN('JSM Eingabe+TW'!$P48)&gt;0,'JSM Eingabe+TW'!$P48,"")</f>
        <v/>
      </c>
      <c r="E202" s="841" t="str">
        <f>IF(LEN('JSM Eingabe+TW'!$Q48)&gt;0,'JSM Eingabe+TW'!$Q48,"")</f>
        <v/>
      </c>
    </row>
    <row r="203" spans="1:5" x14ac:dyDescent="0.2">
      <c r="A203" s="212">
        <v>18</v>
      </c>
      <c r="B203" s="212">
        <v>7</v>
      </c>
      <c r="C203" s="840">
        <f>DATE('JSM Eingabe+TW'!$AB$7,$B203,$A203)</f>
        <v>200</v>
      </c>
      <c r="D203" s="212" t="str">
        <f>IF(LEN('JSM Eingabe+TW'!$P49)&gt;0,'JSM Eingabe+TW'!$P49,"")</f>
        <v/>
      </c>
      <c r="E203" s="841" t="str">
        <f>IF(LEN('JSM Eingabe+TW'!$Q49)&gt;0,'JSM Eingabe+TW'!$Q49,"")</f>
        <v/>
      </c>
    </row>
    <row r="204" spans="1:5" x14ac:dyDescent="0.2">
      <c r="A204" s="212">
        <v>19</v>
      </c>
      <c r="B204" s="212">
        <v>7</v>
      </c>
      <c r="C204" s="840">
        <f>DATE('JSM Eingabe+TW'!$AB$7,$B204,$A204)</f>
        <v>201</v>
      </c>
      <c r="D204" s="212" t="str">
        <f>IF(LEN('JSM Eingabe+TW'!$P50)&gt;0,'JSM Eingabe+TW'!$P50,"")</f>
        <v/>
      </c>
      <c r="E204" s="841" t="str">
        <f>IF(LEN('JSM Eingabe+TW'!$Q50)&gt;0,'JSM Eingabe+TW'!$Q50,"")</f>
        <v/>
      </c>
    </row>
    <row r="205" spans="1:5" x14ac:dyDescent="0.2">
      <c r="A205" s="212">
        <v>20</v>
      </c>
      <c r="B205" s="212">
        <v>7</v>
      </c>
      <c r="C205" s="840">
        <f>DATE('JSM Eingabe+TW'!$AB$7,$B205,$A205)</f>
        <v>202</v>
      </c>
      <c r="D205" s="212" t="str">
        <f>IF(LEN('JSM Eingabe+TW'!$P51)&gt;0,'JSM Eingabe+TW'!$P51,"")</f>
        <v/>
      </c>
      <c r="E205" s="841" t="str">
        <f>IF(LEN('JSM Eingabe+TW'!$Q51)&gt;0,'JSM Eingabe+TW'!$Q51,"")</f>
        <v/>
      </c>
    </row>
    <row r="206" spans="1:5" x14ac:dyDescent="0.2">
      <c r="A206" s="212">
        <v>21</v>
      </c>
      <c r="B206" s="212">
        <v>7</v>
      </c>
      <c r="C206" s="840">
        <f>DATE('JSM Eingabe+TW'!$AB$7,$B206,$A206)</f>
        <v>203</v>
      </c>
      <c r="D206" s="212" t="str">
        <f>IF(LEN('JSM Eingabe+TW'!$P52)&gt;0,'JSM Eingabe+TW'!$P52,"")</f>
        <v/>
      </c>
      <c r="E206" s="841" t="str">
        <f>IF(LEN('JSM Eingabe+TW'!$Q52)&gt;0,'JSM Eingabe+TW'!$Q52,"")</f>
        <v/>
      </c>
    </row>
    <row r="207" spans="1:5" x14ac:dyDescent="0.2">
      <c r="A207" s="212">
        <v>22</v>
      </c>
      <c r="B207" s="212">
        <v>7</v>
      </c>
      <c r="C207" s="840">
        <f>DATE('JSM Eingabe+TW'!$AB$7,$B207,$A207)</f>
        <v>204</v>
      </c>
      <c r="D207" s="212" t="str">
        <f>IF(LEN('JSM Eingabe+TW'!$P53)&gt;0,'JSM Eingabe+TW'!$P53,"")</f>
        <v/>
      </c>
      <c r="E207" s="841" t="str">
        <f>IF(LEN('JSM Eingabe+TW'!$Q53)&gt;0,'JSM Eingabe+TW'!$Q53,"")</f>
        <v/>
      </c>
    </row>
    <row r="208" spans="1:5" x14ac:dyDescent="0.2">
      <c r="A208" s="212">
        <v>23</v>
      </c>
      <c r="B208" s="212">
        <v>7</v>
      </c>
      <c r="C208" s="840">
        <f>DATE('JSM Eingabe+TW'!$AB$7,$B208,$A208)</f>
        <v>205</v>
      </c>
      <c r="D208" s="212" t="str">
        <f>IF(LEN('JSM Eingabe+TW'!$P54)&gt;0,'JSM Eingabe+TW'!$P54,"")</f>
        <v/>
      </c>
      <c r="E208" s="841" t="str">
        <f>IF(LEN('JSM Eingabe+TW'!$Q54)&gt;0,'JSM Eingabe+TW'!$Q54,"")</f>
        <v/>
      </c>
    </row>
    <row r="209" spans="1:5" x14ac:dyDescent="0.2">
      <c r="A209" s="212">
        <v>24</v>
      </c>
      <c r="B209" s="212">
        <v>7</v>
      </c>
      <c r="C209" s="840">
        <f>DATE('JSM Eingabe+TW'!$AB$7,$B209,$A209)</f>
        <v>206</v>
      </c>
      <c r="D209" s="212" t="str">
        <f>IF(LEN('JSM Eingabe+TW'!$P55)&gt;0,'JSM Eingabe+TW'!$P55,"")</f>
        <v/>
      </c>
      <c r="E209" s="841" t="str">
        <f>IF(LEN('JSM Eingabe+TW'!$Q55)&gt;0,'JSM Eingabe+TW'!$Q55,"")</f>
        <v/>
      </c>
    </row>
    <row r="210" spans="1:5" x14ac:dyDescent="0.2">
      <c r="A210" s="212">
        <v>25</v>
      </c>
      <c r="B210" s="212">
        <v>7</v>
      </c>
      <c r="C210" s="840">
        <f>DATE('JSM Eingabe+TW'!$AB$7,$B210,$A210)</f>
        <v>207</v>
      </c>
      <c r="D210" s="212" t="str">
        <f>IF(LEN('JSM Eingabe+TW'!$P56)&gt;0,'JSM Eingabe+TW'!$P56,"")</f>
        <v/>
      </c>
      <c r="E210" s="841" t="str">
        <f>IF(LEN('JSM Eingabe+TW'!$Q56)&gt;0,'JSM Eingabe+TW'!$Q56,"")</f>
        <v/>
      </c>
    </row>
    <row r="211" spans="1:5" x14ac:dyDescent="0.2">
      <c r="A211" s="212">
        <v>26</v>
      </c>
      <c r="B211" s="212">
        <v>7</v>
      </c>
      <c r="C211" s="840">
        <f>DATE('JSM Eingabe+TW'!$AB$7,$B211,$A211)</f>
        <v>208</v>
      </c>
      <c r="D211" s="212" t="str">
        <f>IF(LEN('JSM Eingabe+TW'!$P57)&gt;0,'JSM Eingabe+TW'!$P57,"")</f>
        <v/>
      </c>
      <c r="E211" s="841" t="str">
        <f>IF(LEN('JSM Eingabe+TW'!$Q57)&gt;0,'JSM Eingabe+TW'!$Q57,"")</f>
        <v/>
      </c>
    </row>
    <row r="212" spans="1:5" x14ac:dyDescent="0.2">
      <c r="A212" s="212">
        <v>27</v>
      </c>
      <c r="B212" s="212">
        <v>7</v>
      </c>
      <c r="C212" s="840">
        <f>DATE('JSM Eingabe+TW'!$AB$7,$B212,$A212)</f>
        <v>209</v>
      </c>
      <c r="D212" s="212" t="str">
        <f>IF(LEN('JSM Eingabe+TW'!$P58)&gt;0,'JSM Eingabe+TW'!$P58,"")</f>
        <v/>
      </c>
      <c r="E212" s="841" t="str">
        <f>IF(LEN('JSM Eingabe+TW'!$Q58)&gt;0,'JSM Eingabe+TW'!$Q58,"")</f>
        <v/>
      </c>
    </row>
    <row r="213" spans="1:5" x14ac:dyDescent="0.2">
      <c r="A213" s="212">
        <v>28</v>
      </c>
      <c r="B213" s="212">
        <v>7</v>
      </c>
      <c r="C213" s="840">
        <f>DATE('JSM Eingabe+TW'!$AB$7,$B213,$A213)</f>
        <v>210</v>
      </c>
      <c r="D213" s="212" t="str">
        <f>IF(LEN('JSM Eingabe+TW'!$P59)&gt;0,'JSM Eingabe+TW'!$P59,"")</f>
        <v/>
      </c>
      <c r="E213" s="841" t="str">
        <f>IF(LEN('JSM Eingabe+TW'!$Q59)&gt;0,'JSM Eingabe+TW'!$Q59,"")</f>
        <v/>
      </c>
    </row>
    <row r="214" spans="1:5" x14ac:dyDescent="0.2">
      <c r="A214" s="212">
        <v>29</v>
      </c>
      <c r="B214" s="212">
        <v>7</v>
      </c>
      <c r="C214" s="840">
        <f>DATE('JSM Eingabe+TW'!$AB$7,$B214,$A214)</f>
        <v>211</v>
      </c>
      <c r="D214" s="212" t="str">
        <f>IF(LEN('JSM Eingabe+TW'!$P60)&gt;0,'JSM Eingabe+TW'!$P60,"")</f>
        <v/>
      </c>
      <c r="E214" s="841" t="str">
        <f>IF(LEN('JSM Eingabe+TW'!$Q60)&gt;0,'JSM Eingabe+TW'!$Q60,"")</f>
        <v/>
      </c>
    </row>
    <row r="215" spans="1:5" x14ac:dyDescent="0.2">
      <c r="A215" s="212">
        <v>30</v>
      </c>
      <c r="B215" s="212">
        <v>7</v>
      </c>
      <c r="C215" s="840">
        <f>DATE('JSM Eingabe+TW'!$AB$7,$B215,$A215)</f>
        <v>212</v>
      </c>
      <c r="D215" s="212" t="str">
        <f>IF(LEN('JSM Eingabe+TW'!$P61)&gt;0,'JSM Eingabe+TW'!$P61,"")</f>
        <v/>
      </c>
      <c r="E215" s="841" t="str">
        <f>IF(LEN('JSM Eingabe+TW'!$Q61)&gt;0,'JSM Eingabe+TW'!$Q61,"")</f>
        <v/>
      </c>
    </row>
    <row r="216" spans="1:5" x14ac:dyDescent="0.2">
      <c r="A216" s="212">
        <v>31</v>
      </c>
      <c r="B216" s="212">
        <v>7</v>
      </c>
      <c r="C216" s="840">
        <f>DATE('JSM Eingabe+TW'!$AB$7,$B216,$A216)</f>
        <v>213</v>
      </c>
      <c r="D216" s="212" t="str">
        <f>IF(LEN('JSM Eingabe+TW'!$P62)&gt;0,'JSM Eingabe+TW'!$P62,"")</f>
        <v/>
      </c>
      <c r="E216" s="841" t="str">
        <f>IF(LEN('JSM Eingabe+TW'!$Q62)&gt;0,'JSM Eingabe+TW'!$Q62,"")</f>
        <v/>
      </c>
    </row>
    <row r="217" spans="1:5" x14ac:dyDescent="0.2">
      <c r="A217" s="212">
        <v>1</v>
      </c>
      <c r="B217" s="212">
        <v>8</v>
      </c>
      <c r="C217" s="840">
        <f>DATE('JSM Eingabe+TW'!$AB$7,$B217,$A217)</f>
        <v>214</v>
      </c>
      <c r="D217" s="212" t="str">
        <f>IF(LEN('JSM Eingabe+TW'!$R32)&gt;0,'JSM Eingabe+TW'!$R32,"")</f>
        <v/>
      </c>
      <c r="E217" s="841" t="str">
        <f>IF(LEN('JSM Eingabe+TW'!$S32)&gt;0,'JSM Eingabe+TW'!$S32,"")</f>
        <v/>
      </c>
    </row>
    <row r="218" spans="1:5" x14ac:dyDescent="0.2">
      <c r="A218" s="212">
        <v>2</v>
      </c>
      <c r="B218" s="212">
        <v>8</v>
      </c>
      <c r="C218" s="840">
        <f>DATE('JSM Eingabe+TW'!$AB$7,$B218,$A218)</f>
        <v>215</v>
      </c>
      <c r="D218" s="212" t="str">
        <f>IF(LEN('JSM Eingabe+TW'!$R33)&gt;0,'JSM Eingabe+TW'!$R33,"")</f>
        <v/>
      </c>
      <c r="E218" s="841" t="str">
        <f>IF(LEN('JSM Eingabe+TW'!$S33)&gt;0,'JSM Eingabe+TW'!$S33,"")</f>
        <v/>
      </c>
    </row>
    <row r="219" spans="1:5" x14ac:dyDescent="0.2">
      <c r="A219" s="212">
        <v>3</v>
      </c>
      <c r="B219" s="212">
        <v>8</v>
      </c>
      <c r="C219" s="840">
        <f>DATE('JSM Eingabe+TW'!$AB$7,$B219,$A219)</f>
        <v>216</v>
      </c>
      <c r="D219" s="212" t="str">
        <f>IF(LEN('JSM Eingabe+TW'!$R34)&gt;0,'JSM Eingabe+TW'!$R34,"")</f>
        <v/>
      </c>
      <c r="E219" s="841" t="str">
        <f>IF(LEN('JSM Eingabe+TW'!$S34)&gt;0,'JSM Eingabe+TW'!$S34,"")</f>
        <v/>
      </c>
    </row>
    <row r="220" spans="1:5" x14ac:dyDescent="0.2">
      <c r="A220" s="212">
        <v>4</v>
      </c>
      <c r="B220" s="212">
        <v>8</v>
      </c>
      <c r="C220" s="840">
        <f>DATE('JSM Eingabe+TW'!$AB$7,$B220,$A220)</f>
        <v>217</v>
      </c>
      <c r="D220" s="212" t="str">
        <f>IF(LEN('JSM Eingabe+TW'!$R35)&gt;0,'JSM Eingabe+TW'!$R35,"")</f>
        <v/>
      </c>
      <c r="E220" s="841" t="str">
        <f>IF(LEN('JSM Eingabe+TW'!$S35)&gt;0,'JSM Eingabe+TW'!$S35,"")</f>
        <v/>
      </c>
    </row>
    <row r="221" spans="1:5" x14ac:dyDescent="0.2">
      <c r="A221" s="212">
        <v>5</v>
      </c>
      <c r="B221" s="212">
        <v>8</v>
      </c>
      <c r="C221" s="840">
        <f>DATE('JSM Eingabe+TW'!$AB$7,$B221,$A221)</f>
        <v>218</v>
      </c>
      <c r="D221" s="212" t="str">
        <f>IF(LEN('JSM Eingabe+TW'!$R36)&gt;0,'JSM Eingabe+TW'!$R36,"")</f>
        <v/>
      </c>
      <c r="E221" s="841" t="str">
        <f>IF(LEN('JSM Eingabe+TW'!$S36)&gt;0,'JSM Eingabe+TW'!$S36,"")</f>
        <v/>
      </c>
    </row>
    <row r="222" spans="1:5" x14ac:dyDescent="0.2">
      <c r="A222" s="212">
        <v>6</v>
      </c>
      <c r="B222" s="212">
        <v>8</v>
      </c>
      <c r="C222" s="840">
        <f>DATE('JSM Eingabe+TW'!$AB$7,$B222,$A222)</f>
        <v>219</v>
      </c>
      <c r="D222" s="212" t="str">
        <f>IF(LEN('JSM Eingabe+TW'!$R37)&gt;0,'JSM Eingabe+TW'!$R37,"")</f>
        <v/>
      </c>
      <c r="E222" s="841" t="str">
        <f>IF(LEN('JSM Eingabe+TW'!$S37)&gt;0,'JSM Eingabe+TW'!$S37,"")</f>
        <v/>
      </c>
    </row>
    <row r="223" spans="1:5" x14ac:dyDescent="0.2">
      <c r="A223" s="212">
        <v>7</v>
      </c>
      <c r="B223" s="212">
        <v>8</v>
      </c>
      <c r="C223" s="840">
        <f>DATE('JSM Eingabe+TW'!$AB$7,$B223,$A223)</f>
        <v>220</v>
      </c>
      <c r="D223" s="212" t="str">
        <f>IF(LEN('JSM Eingabe+TW'!$R38)&gt;0,'JSM Eingabe+TW'!$R38,"")</f>
        <v/>
      </c>
      <c r="E223" s="841" t="str">
        <f>IF(LEN('JSM Eingabe+TW'!$S38)&gt;0,'JSM Eingabe+TW'!$S38,"")</f>
        <v/>
      </c>
    </row>
    <row r="224" spans="1:5" x14ac:dyDescent="0.2">
      <c r="A224" s="212">
        <v>8</v>
      </c>
      <c r="B224" s="212">
        <v>8</v>
      </c>
      <c r="C224" s="840">
        <f>DATE('JSM Eingabe+TW'!$AB$7,$B224,$A224)</f>
        <v>221</v>
      </c>
      <c r="D224" s="212" t="str">
        <f>IF(LEN('JSM Eingabe+TW'!$R39)&gt;0,'JSM Eingabe+TW'!$R39,"")</f>
        <v/>
      </c>
      <c r="E224" s="841" t="str">
        <f>IF(LEN('JSM Eingabe+TW'!$S39)&gt;0,'JSM Eingabe+TW'!$S39,"")</f>
        <v/>
      </c>
    </row>
    <row r="225" spans="1:5" x14ac:dyDescent="0.2">
      <c r="A225" s="212">
        <v>9</v>
      </c>
      <c r="B225" s="212">
        <v>8</v>
      </c>
      <c r="C225" s="840">
        <f>DATE('JSM Eingabe+TW'!$AB$7,$B225,$A225)</f>
        <v>222</v>
      </c>
      <c r="D225" s="212" t="str">
        <f>IF(LEN('JSM Eingabe+TW'!$R40)&gt;0,'JSM Eingabe+TW'!$R40,"")</f>
        <v/>
      </c>
      <c r="E225" s="841" t="str">
        <f>IF(LEN('JSM Eingabe+TW'!$S40)&gt;0,'JSM Eingabe+TW'!$S40,"")</f>
        <v/>
      </c>
    </row>
    <row r="226" spans="1:5" x14ac:dyDescent="0.2">
      <c r="A226" s="212">
        <v>10</v>
      </c>
      <c r="B226" s="212">
        <v>8</v>
      </c>
      <c r="C226" s="840">
        <f>DATE('JSM Eingabe+TW'!$AB$7,$B226,$A226)</f>
        <v>223</v>
      </c>
      <c r="D226" s="212" t="str">
        <f>IF(LEN('JSM Eingabe+TW'!$R41)&gt;0,'JSM Eingabe+TW'!$R41,"")</f>
        <v/>
      </c>
      <c r="E226" s="841" t="str">
        <f>IF(LEN('JSM Eingabe+TW'!$S41)&gt;0,'JSM Eingabe+TW'!$S41,"")</f>
        <v/>
      </c>
    </row>
    <row r="227" spans="1:5" x14ac:dyDescent="0.2">
      <c r="A227" s="212">
        <v>11</v>
      </c>
      <c r="B227" s="212">
        <v>8</v>
      </c>
      <c r="C227" s="840">
        <f>DATE('JSM Eingabe+TW'!$AB$7,$B227,$A227)</f>
        <v>224</v>
      </c>
      <c r="D227" s="212" t="str">
        <f>IF(LEN('JSM Eingabe+TW'!$R42)&gt;0,'JSM Eingabe+TW'!$R42,"")</f>
        <v/>
      </c>
      <c r="E227" s="841" t="str">
        <f>IF(LEN('JSM Eingabe+TW'!$S42)&gt;0,'JSM Eingabe+TW'!$S42,"")</f>
        <v/>
      </c>
    </row>
    <row r="228" spans="1:5" x14ac:dyDescent="0.2">
      <c r="A228" s="212">
        <v>12</v>
      </c>
      <c r="B228" s="212">
        <v>8</v>
      </c>
      <c r="C228" s="840">
        <f>DATE('JSM Eingabe+TW'!$AB$7,$B228,$A228)</f>
        <v>225</v>
      </c>
      <c r="D228" s="212" t="str">
        <f>IF(LEN('JSM Eingabe+TW'!$R43)&gt;0,'JSM Eingabe+TW'!$R43,"")</f>
        <v/>
      </c>
      <c r="E228" s="841" t="str">
        <f>IF(LEN('JSM Eingabe+TW'!$S43)&gt;0,'JSM Eingabe+TW'!$S43,"")</f>
        <v/>
      </c>
    </row>
    <row r="229" spans="1:5" x14ac:dyDescent="0.2">
      <c r="A229" s="212">
        <v>13</v>
      </c>
      <c r="B229" s="212">
        <v>8</v>
      </c>
      <c r="C229" s="840">
        <f>DATE('JSM Eingabe+TW'!$AB$7,$B229,$A229)</f>
        <v>226</v>
      </c>
      <c r="D229" s="212" t="str">
        <f>IF(LEN('JSM Eingabe+TW'!$R44)&gt;0,'JSM Eingabe+TW'!$R44,"")</f>
        <v/>
      </c>
      <c r="E229" s="841" t="str">
        <f>IF(LEN('JSM Eingabe+TW'!$S44)&gt;0,'JSM Eingabe+TW'!$S44,"")</f>
        <v/>
      </c>
    </row>
    <row r="230" spans="1:5" x14ac:dyDescent="0.2">
      <c r="A230" s="212">
        <v>14</v>
      </c>
      <c r="B230" s="212">
        <v>8</v>
      </c>
      <c r="C230" s="840">
        <f>DATE('JSM Eingabe+TW'!$AB$7,$B230,$A230)</f>
        <v>227</v>
      </c>
      <c r="D230" s="212" t="str">
        <f>IF(LEN('JSM Eingabe+TW'!$R45)&gt;0,'JSM Eingabe+TW'!$R45,"")</f>
        <v/>
      </c>
      <c r="E230" s="841" t="str">
        <f>IF(LEN('JSM Eingabe+TW'!$S45)&gt;0,'JSM Eingabe+TW'!$S45,"")</f>
        <v/>
      </c>
    </row>
    <row r="231" spans="1:5" x14ac:dyDescent="0.2">
      <c r="A231" s="212">
        <v>15</v>
      </c>
      <c r="B231" s="212">
        <v>8</v>
      </c>
      <c r="C231" s="840">
        <f>DATE('JSM Eingabe+TW'!$AB$7,$B231,$A231)</f>
        <v>228</v>
      </c>
      <c r="D231" s="212" t="str">
        <f>IF(LEN('JSM Eingabe+TW'!$R46)&gt;0,'JSM Eingabe+TW'!$R46,"")</f>
        <v/>
      </c>
      <c r="E231" s="841" t="str">
        <f>IF(LEN('JSM Eingabe+TW'!$S46)&gt;0,'JSM Eingabe+TW'!$S46,"")</f>
        <v/>
      </c>
    </row>
    <row r="232" spans="1:5" x14ac:dyDescent="0.2">
      <c r="A232" s="212">
        <v>16</v>
      </c>
      <c r="B232" s="212">
        <v>8</v>
      </c>
      <c r="C232" s="840">
        <f>DATE('JSM Eingabe+TW'!$AB$7,$B232,$A232)</f>
        <v>229</v>
      </c>
      <c r="D232" s="212" t="str">
        <f>IF(LEN('JSM Eingabe+TW'!$R47)&gt;0,'JSM Eingabe+TW'!$R47,"")</f>
        <v/>
      </c>
      <c r="E232" s="841" t="str">
        <f>IF(LEN('JSM Eingabe+TW'!$S47)&gt;0,'JSM Eingabe+TW'!$S47,"")</f>
        <v/>
      </c>
    </row>
    <row r="233" spans="1:5" x14ac:dyDescent="0.2">
      <c r="A233" s="212">
        <v>17</v>
      </c>
      <c r="B233" s="212">
        <v>8</v>
      </c>
      <c r="C233" s="840">
        <f>DATE('JSM Eingabe+TW'!$AB$7,$B233,$A233)</f>
        <v>230</v>
      </c>
      <c r="D233" s="212" t="str">
        <f>IF(LEN('JSM Eingabe+TW'!$R48)&gt;0,'JSM Eingabe+TW'!$R48,"")</f>
        <v/>
      </c>
      <c r="E233" s="841" t="str">
        <f>IF(LEN('JSM Eingabe+TW'!$S48)&gt;0,'JSM Eingabe+TW'!$S48,"")</f>
        <v/>
      </c>
    </row>
    <row r="234" spans="1:5" x14ac:dyDescent="0.2">
      <c r="A234" s="212">
        <v>18</v>
      </c>
      <c r="B234" s="212">
        <v>8</v>
      </c>
      <c r="C234" s="840">
        <f>DATE('JSM Eingabe+TW'!$AB$7,$B234,$A234)</f>
        <v>231</v>
      </c>
      <c r="D234" s="212" t="str">
        <f>IF(LEN('JSM Eingabe+TW'!$R49)&gt;0,'JSM Eingabe+TW'!$R49,"")</f>
        <v/>
      </c>
      <c r="E234" s="841" t="str">
        <f>IF(LEN('JSM Eingabe+TW'!$S49)&gt;0,'JSM Eingabe+TW'!$S49,"")</f>
        <v/>
      </c>
    </row>
    <row r="235" spans="1:5" x14ac:dyDescent="0.2">
      <c r="A235" s="212">
        <v>19</v>
      </c>
      <c r="B235" s="212">
        <v>8</v>
      </c>
      <c r="C235" s="840">
        <f>DATE('JSM Eingabe+TW'!$AB$7,$B235,$A235)</f>
        <v>232</v>
      </c>
      <c r="D235" s="212" t="str">
        <f>IF(LEN('JSM Eingabe+TW'!$R50)&gt;0,'JSM Eingabe+TW'!$R50,"")</f>
        <v/>
      </c>
      <c r="E235" s="841" t="str">
        <f>IF(LEN('JSM Eingabe+TW'!$S50)&gt;0,'JSM Eingabe+TW'!$S50,"")</f>
        <v/>
      </c>
    </row>
    <row r="236" spans="1:5" x14ac:dyDescent="0.2">
      <c r="A236" s="212">
        <v>20</v>
      </c>
      <c r="B236" s="212">
        <v>8</v>
      </c>
      <c r="C236" s="840">
        <f>DATE('JSM Eingabe+TW'!$AB$7,$B236,$A236)</f>
        <v>233</v>
      </c>
      <c r="D236" s="212" t="str">
        <f>IF(LEN('JSM Eingabe+TW'!$R51)&gt;0,'JSM Eingabe+TW'!$R51,"")</f>
        <v/>
      </c>
      <c r="E236" s="841" t="str">
        <f>IF(LEN('JSM Eingabe+TW'!$S51)&gt;0,'JSM Eingabe+TW'!$S51,"")</f>
        <v/>
      </c>
    </row>
    <row r="237" spans="1:5" x14ac:dyDescent="0.2">
      <c r="A237" s="212">
        <v>21</v>
      </c>
      <c r="B237" s="212">
        <v>8</v>
      </c>
      <c r="C237" s="840">
        <f>DATE('JSM Eingabe+TW'!$AB$7,$B237,$A237)</f>
        <v>234</v>
      </c>
      <c r="D237" s="212" t="str">
        <f>IF(LEN('JSM Eingabe+TW'!$R52)&gt;0,'JSM Eingabe+TW'!$R52,"")</f>
        <v/>
      </c>
      <c r="E237" s="841" t="str">
        <f>IF(LEN('JSM Eingabe+TW'!$S52)&gt;0,'JSM Eingabe+TW'!$S52,"")</f>
        <v/>
      </c>
    </row>
    <row r="238" spans="1:5" x14ac:dyDescent="0.2">
      <c r="A238" s="212">
        <v>22</v>
      </c>
      <c r="B238" s="212">
        <v>8</v>
      </c>
      <c r="C238" s="840">
        <f>DATE('JSM Eingabe+TW'!$AB$7,$B238,$A238)</f>
        <v>235</v>
      </c>
      <c r="D238" s="212" t="str">
        <f>IF(LEN('JSM Eingabe+TW'!$R53)&gt;0,'JSM Eingabe+TW'!$R53,"")</f>
        <v/>
      </c>
      <c r="E238" s="841" t="str">
        <f>IF(LEN('JSM Eingabe+TW'!$S53)&gt;0,'JSM Eingabe+TW'!$S53,"")</f>
        <v/>
      </c>
    </row>
    <row r="239" spans="1:5" x14ac:dyDescent="0.2">
      <c r="A239" s="212">
        <v>23</v>
      </c>
      <c r="B239" s="212">
        <v>8</v>
      </c>
      <c r="C239" s="840">
        <f>DATE('JSM Eingabe+TW'!$AB$7,$B239,$A239)</f>
        <v>236</v>
      </c>
      <c r="D239" s="212" t="str">
        <f>IF(LEN('JSM Eingabe+TW'!$R54)&gt;0,'JSM Eingabe+TW'!$R54,"")</f>
        <v/>
      </c>
      <c r="E239" s="841" t="str">
        <f>IF(LEN('JSM Eingabe+TW'!$S54)&gt;0,'JSM Eingabe+TW'!$S54,"")</f>
        <v/>
      </c>
    </row>
    <row r="240" spans="1:5" x14ac:dyDescent="0.2">
      <c r="A240" s="212">
        <v>24</v>
      </c>
      <c r="B240" s="212">
        <v>8</v>
      </c>
      <c r="C240" s="840">
        <f>DATE('JSM Eingabe+TW'!$AB$7,$B240,$A240)</f>
        <v>237</v>
      </c>
      <c r="D240" s="212" t="str">
        <f>IF(LEN('JSM Eingabe+TW'!$R55)&gt;0,'JSM Eingabe+TW'!$R55,"")</f>
        <v/>
      </c>
      <c r="E240" s="841" t="str">
        <f>IF(LEN('JSM Eingabe+TW'!$S55)&gt;0,'JSM Eingabe+TW'!$S55,"")</f>
        <v/>
      </c>
    </row>
    <row r="241" spans="1:5" x14ac:dyDescent="0.2">
      <c r="A241" s="212">
        <v>25</v>
      </c>
      <c r="B241" s="212">
        <v>8</v>
      </c>
      <c r="C241" s="840">
        <f>DATE('JSM Eingabe+TW'!$AB$7,$B241,$A241)</f>
        <v>238</v>
      </c>
      <c r="D241" s="212" t="str">
        <f>IF(LEN('JSM Eingabe+TW'!$R56)&gt;0,'JSM Eingabe+TW'!$R56,"")</f>
        <v/>
      </c>
      <c r="E241" s="841" t="str">
        <f>IF(LEN('JSM Eingabe+TW'!$S56)&gt;0,'JSM Eingabe+TW'!$S56,"")</f>
        <v/>
      </c>
    </row>
    <row r="242" spans="1:5" x14ac:dyDescent="0.2">
      <c r="A242" s="212">
        <v>26</v>
      </c>
      <c r="B242" s="212">
        <v>8</v>
      </c>
      <c r="C242" s="840">
        <f>DATE('JSM Eingabe+TW'!$AB$7,$B242,$A242)</f>
        <v>239</v>
      </c>
      <c r="D242" s="212" t="str">
        <f>IF(LEN('JSM Eingabe+TW'!$R57)&gt;0,'JSM Eingabe+TW'!$R57,"")</f>
        <v/>
      </c>
      <c r="E242" s="841" t="str">
        <f>IF(LEN('JSM Eingabe+TW'!$S57)&gt;0,'JSM Eingabe+TW'!$S57,"")</f>
        <v/>
      </c>
    </row>
    <row r="243" spans="1:5" x14ac:dyDescent="0.2">
      <c r="A243" s="212">
        <v>27</v>
      </c>
      <c r="B243" s="212">
        <v>8</v>
      </c>
      <c r="C243" s="840">
        <f>DATE('JSM Eingabe+TW'!$AB$7,$B243,$A243)</f>
        <v>240</v>
      </c>
      <c r="D243" s="212" t="str">
        <f>IF(LEN('JSM Eingabe+TW'!$R58)&gt;0,'JSM Eingabe+TW'!$R58,"")</f>
        <v/>
      </c>
      <c r="E243" s="841" t="str">
        <f>IF(LEN('JSM Eingabe+TW'!$S58)&gt;0,'JSM Eingabe+TW'!$S58,"")</f>
        <v/>
      </c>
    </row>
    <row r="244" spans="1:5" x14ac:dyDescent="0.2">
      <c r="A244" s="212">
        <v>28</v>
      </c>
      <c r="B244" s="212">
        <v>8</v>
      </c>
      <c r="C244" s="840">
        <f>DATE('JSM Eingabe+TW'!$AB$7,$B244,$A244)</f>
        <v>241</v>
      </c>
      <c r="D244" s="212" t="str">
        <f>IF(LEN('JSM Eingabe+TW'!$R59)&gt;0,'JSM Eingabe+TW'!$R59,"")</f>
        <v/>
      </c>
      <c r="E244" s="841" t="str">
        <f>IF(LEN('JSM Eingabe+TW'!$S59)&gt;0,'JSM Eingabe+TW'!$S59,"")</f>
        <v/>
      </c>
    </row>
    <row r="245" spans="1:5" x14ac:dyDescent="0.2">
      <c r="A245" s="212">
        <v>29</v>
      </c>
      <c r="B245" s="212">
        <v>8</v>
      </c>
      <c r="C245" s="840">
        <f>DATE('JSM Eingabe+TW'!$AB$7,$B245,$A245)</f>
        <v>242</v>
      </c>
      <c r="D245" s="212" t="str">
        <f>IF(LEN('JSM Eingabe+TW'!$R60)&gt;0,'JSM Eingabe+TW'!$R60,"")</f>
        <v/>
      </c>
      <c r="E245" s="841" t="str">
        <f>IF(LEN('JSM Eingabe+TW'!$S60)&gt;0,'JSM Eingabe+TW'!$S60,"")</f>
        <v/>
      </c>
    </row>
    <row r="246" spans="1:5" x14ac:dyDescent="0.2">
      <c r="A246" s="212">
        <v>30</v>
      </c>
      <c r="B246" s="212">
        <v>8</v>
      </c>
      <c r="C246" s="840">
        <f>DATE('JSM Eingabe+TW'!$AB$7,$B246,$A246)</f>
        <v>243</v>
      </c>
      <c r="D246" s="212" t="str">
        <f>IF(LEN('JSM Eingabe+TW'!$R61)&gt;0,'JSM Eingabe+TW'!$R61,"")</f>
        <v/>
      </c>
      <c r="E246" s="841" t="str">
        <f>IF(LEN('JSM Eingabe+TW'!$S61)&gt;0,'JSM Eingabe+TW'!$S61,"")</f>
        <v/>
      </c>
    </row>
    <row r="247" spans="1:5" x14ac:dyDescent="0.2">
      <c r="A247" s="212">
        <v>31</v>
      </c>
      <c r="B247" s="212">
        <v>8</v>
      </c>
      <c r="C247" s="840">
        <f>DATE('JSM Eingabe+TW'!$AB$7,$B247,$A247)</f>
        <v>244</v>
      </c>
      <c r="D247" s="212" t="str">
        <f>IF(LEN('JSM Eingabe+TW'!$R62)&gt;0,'JSM Eingabe+TW'!$R62,"")</f>
        <v/>
      </c>
      <c r="E247" s="841" t="str">
        <f>IF(LEN('JSM Eingabe+TW'!$S62)&gt;0,'JSM Eingabe+TW'!$S62,"")</f>
        <v/>
      </c>
    </row>
    <row r="248" spans="1:5" x14ac:dyDescent="0.2">
      <c r="A248" s="212">
        <v>1</v>
      </c>
      <c r="B248" s="212">
        <v>9</v>
      </c>
      <c r="C248" s="840">
        <f>DATE('JSM Eingabe+TW'!$AB$7,$B248,$A248)</f>
        <v>245</v>
      </c>
      <c r="D248" s="212" t="str">
        <f>IF(LEN('JSM Eingabe+TW'!$T32)&gt;0,'JSM Eingabe+TW'!$T32,"")</f>
        <v/>
      </c>
      <c r="E248" s="841" t="str">
        <f>IF(LEN('JSM Eingabe+TW'!$U32)&gt;0,'JSM Eingabe+TW'!$U32,"")</f>
        <v/>
      </c>
    </row>
    <row r="249" spans="1:5" x14ac:dyDescent="0.2">
      <c r="A249" s="212">
        <v>2</v>
      </c>
      <c r="B249" s="212">
        <v>9</v>
      </c>
      <c r="C249" s="840">
        <f>DATE('JSM Eingabe+TW'!$AB$7,$B249,$A249)</f>
        <v>246</v>
      </c>
      <c r="D249" s="212" t="str">
        <f>IF(LEN('JSM Eingabe+TW'!$T33)&gt;0,'JSM Eingabe+TW'!$T33,"")</f>
        <v/>
      </c>
      <c r="E249" s="841" t="str">
        <f>IF(LEN('JSM Eingabe+TW'!$U33)&gt;0,'JSM Eingabe+TW'!$U33,"")</f>
        <v/>
      </c>
    </row>
    <row r="250" spans="1:5" x14ac:dyDescent="0.2">
      <c r="A250" s="212">
        <v>3</v>
      </c>
      <c r="B250" s="212">
        <v>9</v>
      </c>
      <c r="C250" s="840">
        <f>DATE('JSM Eingabe+TW'!$AB$7,$B250,$A250)</f>
        <v>247</v>
      </c>
      <c r="D250" s="212" t="str">
        <f>IF(LEN('JSM Eingabe+TW'!$T34)&gt;0,'JSM Eingabe+TW'!$T34,"")</f>
        <v/>
      </c>
      <c r="E250" s="841" t="str">
        <f>IF(LEN('JSM Eingabe+TW'!$U34)&gt;0,'JSM Eingabe+TW'!$U34,"")</f>
        <v/>
      </c>
    </row>
    <row r="251" spans="1:5" x14ac:dyDescent="0.2">
      <c r="A251" s="212">
        <v>4</v>
      </c>
      <c r="B251" s="212">
        <v>9</v>
      </c>
      <c r="C251" s="840">
        <f>DATE('JSM Eingabe+TW'!$AB$7,$B251,$A251)</f>
        <v>248</v>
      </c>
      <c r="D251" s="212" t="str">
        <f>IF(LEN('JSM Eingabe+TW'!$T35)&gt;0,'JSM Eingabe+TW'!$T35,"")</f>
        <v/>
      </c>
      <c r="E251" s="841" t="str">
        <f>IF(LEN('JSM Eingabe+TW'!$U35)&gt;0,'JSM Eingabe+TW'!$U35,"")</f>
        <v/>
      </c>
    </row>
    <row r="252" spans="1:5" x14ac:dyDescent="0.2">
      <c r="A252" s="212">
        <v>5</v>
      </c>
      <c r="B252" s="212">
        <v>9</v>
      </c>
      <c r="C252" s="840">
        <f>DATE('JSM Eingabe+TW'!$AB$7,$B252,$A252)</f>
        <v>249</v>
      </c>
      <c r="D252" s="212" t="str">
        <f>IF(LEN('JSM Eingabe+TW'!$T36)&gt;0,'JSM Eingabe+TW'!$T36,"")</f>
        <v/>
      </c>
      <c r="E252" s="841" t="str">
        <f>IF(LEN('JSM Eingabe+TW'!$U36)&gt;0,'JSM Eingabe+TW'!$U36,"")</f>
        <v/>
      </c>
    </row>
    <row r="253" spans="1:5" x14ac:dyDescent="0.2">
      <c r="A253" s="212">
        <v>6</v>
      </c>
      <c r="B253" s="212">
        <v>9</v>
      </c>
      <c r="C253" s="840">
        <f>DATE('JSM Eingabe+TW'!$AB$7,$B253,$A253)</f>
        <v>250</v>
      </c>
      <c r="D253" s="212" t="str">
        <f>IF(LEN('JSM Eingabe+TW'!$T37)&gt;0,'JSM Eingabe+TW'!$T37,"")</f>
        <v/>
      </c>
      <c r="E253" s="841" t="str">
        <f>IF(LEN('JSM Eingabe+TW'!$U37)&gt;0,'JSM Eingabe+TW'!$U37,"")</f>
        <v/>
      </c>
    </row>
    <row r="254" spans="1:5" x14ac:dyDescent="0.2">
      <c r="A254" s="212">
        <v>7</v>
      </c>
      <c r="B254" s="212">
        <v>9</v>
      </c>
      <c r="C254" s="840">
        <f>DATE('JSM Eingabe+TW'!$AB$7,$B254,$A254)</f>
        <v>251</v>
      </c>
      <c r="D254" s="212" t="str">
        <f>IF(LEN('JSM Eingabe+TW'!$T38)&gt;0,'JSM Eingabe+TW'!$T38,"")</f>
        <v/>
      </c>
      <c r="E254" s="841" t="str">
        <f>IF(LEN('JSM Eingabe+TW'!$U38)&gt;0,'JSM Eingabe+TW'!$U38,"")</f>
        <v/>
      </c>
    </row>
    <row r="255" spans="1:5" x14ac:dyDescent="0.2">
      <c r="A255" s="212">
        <v>8</v>
      </c>
      <c r="B255" s="212">
        <v>9</v>
      </c>
      <c r="C255" s="840">
        <f>DATE('JSM Eingabe+TW'!$AB$7,$B255,$A255)</f>
        <v>252</v>
      </c>
      <c r="D255" s="212" t="str">
        <f>IF(LEN('JSM Eingabe+TW'!$T39)&gt;0,'JSM Eingabe+TW'!$T39,"")</f>
        <v/>
      </c>
      <c r="E255" s="841" t="str">
        <f>IF(LEN('JSM Eingabe+TW'!$U39)&gt;0,'JSM Eingabe+TW'!$U39,"")</f>
        <v/>
      </c>
    </row>
    <row r="256" spans="1:5" x14ac:dyDescent="0.2">
      <c r="A256" s="212">
        <v>9</v>
      </c>
      <c r="B256" s="212">
        <v>9</v>
      </c>
      <c r="C256" s="840">
        <f>DATE('JSM Eingabe+TW'!$AB$7,$B256,$A256)</f>
        <v>253</v>
      </c>
      <c r="D256" s="212" t="str">
        <f>IF(LEN('JSM Eingabe+TW'!$T40)&gt;0,'JSM Eingabe+TW'!$T40,"")</f>
        <v/>
      </c>
      <c r="E256" s="841" t="str">
        <f>IF(LEN('JSM Eingabe+TW'!$U40)&gt;0,'JSM Eingabe+TW'!$U40,"")</f>
        <v/>
      </c>
    </row>
    <row r="257" spans="1:5" x14ac:dyDescent="0.2">
      <c r="A257" s="212">
        <v>10</v>
      </c>
      <c r="B257" s="212">
        <v>9</v>
      </c>
      <c r="C257" s="840">
        <f>DATE('JSM Eingabe+TW'!$AB$7,$B257,$A257)</f>
        <v>254</v>
      </c>
      <c r="D257" s="212" t="str">
        <f>IF(LEN('JSM Eingabe+TW'!$T41)&gt;0,'JSM Eingabe+TW'!$T41,"")</f>
        <v/>
      </c>
      <c r="E257" s="841" t="str">
        <f>IF(LEN('JSM Eingabe+TW'!$U41)&gt;0,'JSM Eingabe+TW'!$U41,"")</f>
        <v/>
      </c>
    </row>
    <row r="258" spans="1:5" x14ac:dyDescent="0.2">
      <c r="A258" s="212">
        <v>11</v>
      </c>
      <c r="B258" s="212">
        <v>9</v>
      </c>
      <c r="C258" s="840">
        <f>DATE('JSM Eingabe+TW'!$AB$7,$B258,$A258)</f>
        <v>255</v>
      </c>
      <c r="D258" s="212" t="str">
        <f>IF(LEN('JSM Eingabe+TW'!$T42)&gt;0,'JSM Eingabe+TW'!$T42,"")</f>
        <v/>
      </c>
      <c r="E258" s="841" t="str">
        <f>IF(LEN('JSM Eingabe+TW'!$U42)&gt;0,'JSM Eingabe+TW'!$U42,"")</f>
        <v/>
      </c>
    </row>
    <row r="259" spans="1:5" x14ac:dyDescent="0.2">
      <c r="A259" s="212">
        <v>12</v>
      </c>
      <c r="B259" s="212">
        <v>9</v>
      </c>
      <c r="C259" s="840">
        <f>DATE('JSM Eingabe+TW'!$AB$7,$B259,$A259)</f>
        <v>256</v>
      </c>
      <c r="D259" s="212" t="str">
        <f>IF(LEN('JSM Eingabe+TW'!$T43)&gt;0,'JSM Eingabe+TW'!$T43,"")</f>
        <v/>
      </c>
      <c r="E259" s="841" t="str">
        <f>IF(LEN('JSM Eingabe+TW'!$U43)&gt;0,'JSM Eingabe+TW'!$U43,"")</f>
        <v/>
      </c>
    </row>
    <row r="260" spans="1:5" x14ac:dyDescent="0.2">
      <c r="A260" s="212">
        <v>13</v>
      </c>
      <c r="B260" s="212">
        <v>9</v>
      </c>
      <c r="C260" s="840">
        <f>DATE('JSM Eingabe+TW'!$AB$7,$B260,$A260)</f>
        <v>257</v>
      </c>
      <c r="D260" s="212" t="str">
        <f>IF(LEN('JSM Eingabe+TW'!$T44)&gt;0,'JSM Eingabe+TW'!$T44,"")</f>
        <v/>
      </c>
      <c r="E260" s="841" t="str">
        <f>IF(LEN('JSM Eingabe+TW'!$U44)&gt;0,'JSM Eingabe+TW'!$U44,"")</f>
        <v/>
      </c>
    </row>
    <row r="261" spans="1:5" x14ac:dyDescent="0.2">
      <c r="A261" s="212">
        <v>14</v>
      </c>
      <c r="B261" s="212">
        <v>9</v>
      </c>
      <c r="C261" s="840">
        <f>DATE('JSM Eingabe+TW'!$AB$7,$B261,$A261)</f>
        <v>258</v>
      </c>
      <c r="D261" s="212" t="str">
        <f>IF(LEN('JSM Eingabe+TW'!$T45)&gt;0,'JSM Eingabe+TW'!$T45,"")</f>
        <v/>
      </c>
      <c r="E261" s="841" t="str">
        <f>IF(LEN('JSM Eingabe+TW'!$U45)&gt;0,'JSM Eingabe+TW'!$U45,"")</f>
        <v/>
      </c>
    </row>
    <row r="262" spans="1:5" x14ac:dyDescent="0.2">
      <c r="A262" s="212">
        <v>15</v>
      </c>
      <c r="B262" s="212">
        <v>9</v>
      </c>
      <c r="C262" s="840">
        <f>DATE('JSM Eingabe+TW'!$AB$7,$B262,$A262)</f>
        <v>259</v>
      </c>
      <c r="D262" s="212" t="str">
        <f>IF(LEN('JSM Eingabe+TW'!$T46)&gt;0,'JSM Eingabe+TW'!$T46,"")</f>
        <v/>
      </c>
      <c r="E262" s="841" t="str">
        <f>IF(LEN('JSM Eingabe+TW'!$U46)&gt;0,'JSM Eingabe+TW'!$U46,"")</f>
        <v/>
      </c>
    </row>
    <row r="263" spans="1:5" x14ac:dyDescent="0.2">
      <c r="A263" s="212">
        <v>16</v>
      </c>
      <c r="B263" s="212">
        <v>9</v>
      </c>
      <c r="C263" s="840">
        <f>DATE('JSM Eingabe+TW'!$AB$7,$B263,$A263)</f>
        <v>260</v>
      </c>
      <c r="D263" s="212" t="str">
        <f>IF(LEN('JSM Eingabe+TW'!$T47)&gt;0,'JSM Eingabe+TW'!$T47,"")</f>
        <v/>
      </c>
      <c r="E263" s="841" t="str">
        <f>IF(LEN('JSM Eingabe+TW'!$U47)&gt;0,'JSM Eingabe+TW'!$U47,"")</f>
        <v/>
      </c>
    </row>
    <row r="264" spans="1:5" x14ac:dyDescent="0.2">
      <c r="A264" s="212">
        <v>17</v>
      </c>
      <c r="B264" s="212">
        <v>9</v>
      </c>
      <c r="C264" s="840">
        <f>DATE('JSM Eingabe+TW'!$AB$7,$B264,$A264)</f>
        <v>261</v>
      </c>
      <c r="D264" s="212" t="str">
        <f>IF(LEN('JSM Eingabe+TW'!$T48)&gt;0,'JSM Eingabe+TW'!$T48,"")</f>
        <v/>
      </c>
      <c r="E264" s="841" t="str">
        <f>IF(LEN('JSM Eingabe+TW'!$U48)&gt;0,'JSM Eingabe+TW'!$U48,"")</f>
        <v/>
      </c>
    </row>
    <row r="265" spans="1:5" x14ac:dyDescent="0.2">
      <c r="A265" s="212">
        <v>18</v>
      </c>
      <c r="B265" s="212">
        <v>9</v>
      </c>
      <c r="C265" s="840">
        <f>DATE('JSM Eingabe+TW'!$AB$7,$B265,$A265)</f>
        <v>262</v>
      </c>
      <c r="D265" s="212" t="str">
        <f>IF(LEN('JSM Eingabe+TW'!$T49)&gt;0,'JSM Eingabe+TW'!$T49,"")</f>
        <v/>
      </c>
      <c r="E265" s="841" t="str">
        <f>IF(LEN('JSM Eingabe+TW'!$U49)&gt;0,'JSM Eingabe+TW'!$U49,"")</f>
        <v/>
      </c>
    </row>
    <row r="266" spans="1:5" x14ac:dyDescent="0.2">
      <c r="A266" s="212">
        <v>19</v>
      </c>
      <c r="B266" s="212">
        <v>9</v>
      </c>
      <c r="C266" s="840">
        <f>DATE('JSM Eingabe+TW'!$AB$7,$B266,$A266)</f>
        <v>263</v>
      </c>
      <c r="D266" s="212" t="str">
        <f>IF(LEN('JSM Eingabe+TW'!$T50)&gt;0,'JSM Eingabe+TW'!$T50,"")</f>
        <v/>
      </c>
      <c r="E266" s="841" t="str">
        <f>IF(LEN('JSM Eingabe+TW'!$U50)&gt;0,'JSM Eingabe+TW'!$U50,"")</f>
        <v/>
      </c>
    </row>
    <row r="267" spans="1:5" x14ac:dyDescent="0.2">
      <c r="A267" s="212">
        <v>20</v>
      </c>
      <c r="B267" s="212">
        <v>9</v>
      </c>
      <c r="C267" s="840">
        <f>DATE('JSM Eingabe+TW'!$AB$7,$B267,$A267)</f>
        <v>264</v>
      </c>
      <c r="D267" s="212" t="str">
        <f>IF(LEN('JSM Eingabe+TW'!$T51)&gt;0,'JSM Eingabe+TW'!$T51,"")</f>
        <v/>
      </c>
      <c r="E267" s="841" t="str">
        <f>IF(LEN('JSM Eingabe+TW'!$U51)&gt;0,'JSM Eingabe+TW'!$U51,"")</f>
        <v/>
      </c>
    </row>
    <row r="268" spans="1:5" x14ac:dyDescent="0.2">
      <c r="A268" s="212">
        <v>21</v>
      </c>
      <c r="B268" s="212">
        <v>9</v>
      </c>
      <c r="C268" s="840">
        <f>DATE('JSM Eingabe+TW'!$AB$7,$B268,$A268)</f>
        <v>265</v>
      </c>
      <c r="D268" s="212" t="str">
        <f>IF(LEN('JSM Eingabe+TW'!$T52)&gt;0,'JSM Eingabe+TW'!$T52,"")</f>
        <v/>
      </c>
      <c r="E268" s="841" t="str">
        <f>IF(LEN('JSM Eingabe+TW'!$U52)&gt;0,'JSM Eingabe+TW'!$U52,"")</f>
        <v/>
      </c>
    </row>
    <row r="269" spans="1:5" x14ac:dyDescent="0.2">
      <c r="A269" s="212">
        <v>22</v>
      </c>
      <c r="B269" s="212">
        <v>9</v>
      </c>
      <c r="C269" s="840">
        <f>DATE('JSM Eingabe+TW'!$AB$7,$B269,$A269)</f>
        <v>266</v>
      </c>
      <c r="D269" s="212" t="str">
        <f>IF(LEN('JSM Eingabe+TW'!$T53)&gt;0,'JSM Eingabe+TW'!$T53,"")</f>
        <v/>
      </c>
      <c r="E269" s="841" t="str">
        <f>IF(LEN('JSM Eingabe+TW'!$U53)&gt;0,'JSM Eingabe+TW'!$U53,"")</f>
        <v/>
      </c>
    </row>
    <row r="270" spans="1:5" x14ac:dyDescent="0.2">
      <c r="A270" s="212">
        <v>23</v>
      </c>
      <c r="B270" s="212">
        <v>9</v>
      </c>
      <c r="C270" s="840">
        <f>DATE('JSM Eingabe+TW'!$AB$7,$B270,$A270)</f>
        <v>267</v>
      </c>
      <c r="D270" s="212" t="str">
        <f>IF(LEN('JSM Eingabe+TW'!$T54)&gt;0,'JSM Eingabe+TW'!$T54,"")</f>
        <v/>
      </c>
      <c r="E270" s="841" t="str">
        <f>IF(LEN('JSM Eingabe+TW'!$U54)&gt;0,'JSM Eingabe+TW'!$U54,"")</f>
        <v/>
      </c>
    </row>
    <row r="271" spans="1:5" x14ac:dyDescent="0.2">
      <c r="A271" s="212">
        <v>24</v>
      </c>
      <c r="B271" s="212">
        <v>9</v>
      </c>
      <c r="C271" s="840">
        <f>DATE('JSM Eingabe+TW'!$AB$7,$B271,$A271)</f>
        <v>268</v>
      </c>
      <c r="D271" s="212" t="str">
        <f>IF(LEN('JSM Eingabe+TW'!$T55)&gt;0,'JSM Eingabe+TW'!$T55,"")</f>
        <v/>
      </c>
      <c r="E271" s="841" t="str">
        <f>IF(LEN('JSM Eingabe+TW'!$U55)&gt;0,'JSM Eingabe+TW'!$U55,"")</f>
        <v/>
      </c>
    </row>
    <row r="272" spans="1:5" x14ac:dyDescent="0.2">
      <c r="A272" s="212">
        <v>25</v>
      </c>
      <c r="B272" s="212">
        <v>9</v>
      </c>
      <c r="C272" s="840">
        <f>DATE('JSM Eingabe+TW'!$AB$7,$B272,$A272)</f>
        <v>269</v>
      </c>
      <c r="D272" s="212" t="str">
        <f>IF(LEN('JSM Eingabe+TW'!$T56)&gt;0,'JSM Eingabe+TW'!$T56,"")</f>
        <v/>
      </c>
      <c r="E272" s="841" t="str">
        <f>IF(LEN('JSM Eingabe+TW'!$U56)&gt;0,'JSM Eingabe+TW'!$U56,"")</f>
        <v/>
      </c>
    </row>
    <row r="273" spans="1:5" x14ac:dyDescent="0.2">
      <c r="A273" s="212">
        <v>26</v>
      </c>
      <c r="B273" s="212">
        <v>9</v>
      </c>
      <c r="C273" s="840">
        <f>DATE('JSM Eingabe+TW'!$AB$7,$B273,$A273)</f>
        <v>270</v>
      </c>
      <c r="D273" s="212" t="str">
        <f>IF(LEN('JSM Eingabe+TW'!$T57)&gt;0,'JSM Eingabe+TW'!$T57,"")</f>
        <v/>
      </c>
      <c r="E273" s="841" t="str">
        <f>IF(LEN('JSM Eingabe+TW'!$U57)&gt;0,'JSM Eingabe+TW'!$U57,"")</f>
        <v/>
      </c>
    </row>
    <row r="274" spans="1:5" x14ac:dyDescent="0.2">
      <c r="A274" s="212">
        <v>27</v>
      </c>
      <c r="B274" s="212">
        <v>9</v>
      </c>
      <c r="C274" s="840">
        <f>DATE('JSM Eingabe+TW'!$AB$7,$B274,$A274)</f>
        <v>271</v>
      </c>
      <c r="D274" s="212" t="str">
        <f>IF(LEN('JSM Eingabe+TW'!$T58)&gt;0,'JSM Eingabe+TW'!$T58,"")</f>
        <v/>
      </c>
      <c r="E274" s="841" t="str">
        <f>IF(LEN('JSM Eingabe+TW'!$U58)&gt;0,'JSM Eingabe+TW'!$U58,"")</f>
        <v/>
      </c>
    </row>
    <row r="275" spans="1:5" x14ac:dyDescent="0.2">
      <c r="A275" s="212">
        <v>28</v>
      </c>
      <c r="B275" s="212">
        <v>9</v>
      </c>
      <c r="C275" s="840">
        <f>DATE('JSM Eingabe+TW'!$AB$7,$B275,$A275)</f>
        <v>272</v>
      </c>
      <c r="D275" s="212" t="str">
        <f>IF(LEN('JSM Eingabe+TW'!$T59)&gt;0,'JSM Eingabe+TW'!$T59,"")</f>
        <v/>
      </c>
      <c r="E275" s="841" t="str">
        <f>IF(LEN('JSM Eingabe+TW'!$U59)&gt;0,'JSM Eingabe+TW'!$U59,"")</f>
        <v/>
      </c>
    </row>
    <row r="276" spans="1:5" x14ac:dyDescent="0.2">
      <c r="A276" s="212">
        <v>29</v>
      </c>
      <c r="B276" s="212">
        <v>9</v>
      </c>
      <c r="C276" s="840">
        <f>DATE('JSM Eingabe+TW'!$AB$7,$B276,$A276)</f>
        <v>273</v>
      </c>
      <c r="D276" s="212" t="str">
        <f>IF(LEN('JSM Eingabe+TW'!$T60)&gt;0,'JSM Eingabe+TW'!$T60,"")</f>
        <v/>
      </c>
      <c r="E276" s="841" t="str">
        <f>IF(LEN('JSM Eingabe+TW'!$U60)&gt;0,'JSM Eingabe+TW'!$U60,"")</f>
        <v/>
      </c>
    </row>
    <row r="277" spans="1:5" x14ac:dyDescent="0.2">
      <c r="A277" s="212">
        <v>30</v>
      </c>
      <c r="B277" s="212">
        <v>9</v>
      </c>
      <c r="C277" s="840">
        <f>DATE('JSM Eingabe+TW'!$AB$7,$B277,$A277)</f>
        <v>274</v>
      </c>
      <c r="D277" s="212" t="str">
        <f>IF(LEN('JSM Eingabe+TW'!$T61)&gt;0,'JSM Eingabe+TW'!$T61,"")</f>
        <v/>
      </c>
      <c r="E277" s="841" t="str">
        <f>IF(LEN('JSM Eingabe+TW'!$U61)&gt;0,'JSM Eingabe+TW'!$U61,"")</f>
        <v/>
      </c>
    </row>
    <row r="278" spans="1:5" x14ac:dyDescent="0.2">
      <c r="A278" s="212">
        <v>1</v>
      </c>
      <c r="B278" s="212">
        <v>10</v>
      </c>
      <c r="C278" s="840">
        <f>DATE('JSM Eingabe+TW'!$AB$7,$B278,$A278)</f>
        <v>275</v>
      </c>
      <c r="D278" s="212" t="str">
        <f>IF(LEN('JSM Eingabe+TW'!$V32)&gt;0,'JSM Eingabe+TW'!$V32,"")</f>
        <v/>
      </c>
      <c r="E278" s="841" t="str">
        <f>IF(LEN('JSM Eingabe+TW'!$W32)&gt;0,'JSM Eingabe+TW'!$W32,"")</f>
        <v/>
      </c>
    </row>
    <row r="279" spans="1:5" x14ac:dyDescent="0.2">
      <c r="A279" s="212">
        <v>2</v>
      </c>
      <c r="B279" s="212">
        <v>10</v>
      </c>
      <c r="C279" s="840">
        <f>DATE('JSM Eingabe+TW'!$AB$7,$B279,$A279)</f>
        <v>276</v>
      </c>
      <c r="D279" s="212" t="str">
        <f>IF(LEN('JSM Eingabe+TW'!$V33)&gt;0,'JSM Eingabe+TW'!$V33,"")</f>
        <v/>
      </c>
      <c r="E279" s="841" t="str">
        <f>IF(LEN('JSM Eingabe+TW'!$W33)&gt;0,'JSM Eingabe+TW'!$W33,"")</f>
        <v/>
      </c>
    </row>
    <row r="280" spans="1:5" x14ac:dyDescent="0.2">
      <c r="A280" s="212">
        <v>3</v>
      </c>
      <c r="B280" s="212">
        <v>10</v>
      </c>
      <c r="C280" s="840">
        <f>DATE('JSM Eingabe+TW'!$AB$7,$B280,$A280)</f>
        <v>277</v>
      </c>
      <c r="D280" s="212" t="str">
        <f>IF(LEN('JSM Eingabe+TW'!$V34)&gt;0,'JSM Eingabe+TW'!$V34,"")</f>
        <v/>
      </c>
      <c r="E280" s="841" t="str">
        <f>IF(LEN('JSM Eingabe+TW'!$W34)&gt;0,'JSM Eingabe+TW'!$W34,"")</f>
        <v/>
      </c>
    </row>
    <row r="281" spans="1:5" x14ac:dyDescent="0.2">
      <c r="A281" s="212">
        <v>4</v>
      </c>
      <c r="B281" s="212">
        <v>10</v>
      </c>
      <c r="C281" s="840">
        <f>DATE('JSM Eingabe+TW'!$AB$7,$B281,$A281)</f>
        <v>278</v>
      </c>
      <c r="D281" s="212" t="str">
        <f>IF(LEN('JSM Eingabe+TW'!$V35)&gt;0,'JSM Eingabe+TW'!$V35,"")</f>
        <v/>
      </c>
      <c r="E281" s="841" t="str">
        <f>IF(LEN('JSM Eingabe+TW'!$W35)&gt;0,'JSM Eingabe+TW'!$W35,"")</f>
        <v/>
      </c>
    </row>
    <row r="282" spans="1:5" x14ac:dyDescent="0.2">
      <c r="A282" s="212">
        <v>5</v>
      </c>
      <c r="B282" s="212">
        <v>10</v>
      </c>
      <c r="C282" s="840">
        <f>DATE('JSM Eingabe+TW'!$AB$7,$B282,$A282)</f>
        <v>279</v>
      </c>
      <c r="D282" s="212" t="str">
        <f>IF(LEN('JSM Eingabe+TW'!$V36)&gt;0,'JSM Eingabe+TW'!$V36,"")</f>
        <v/>
      </c>
      <c r="E282" s="841" t="str">
        <f>IF(LEN('JSM Eingabe+TW'!$W36)&gt;0,'JSM Eingabe+TW'!$W36,"")</f>
        <v/>
      </c>
    </row>
    <row r="283" spans="1:5" x14ac:dyDescent="0.2">
      <c r="A283" s="212">
        <v>6</v>
      </c>
      <c r="B283" s="212">
        <v>10</v>
      </c>
      <c r="C283" s="840">
        <f>DATE('JSM Eingabe+TW'!$AB$7,$B283,$A283)</f>
        <v>280</v>
      </c>
      <c r="D283" s="212" t="str">
        <f>IF(LEN('JSM Eingabe+TW'!$V37)&gt;0,'JSM Eingabe+TW'!$V37,"")</f>
        <v/>
      </c>
      <c r="E283" s="841" t="str">
        <f>IF(LEN('JSM Eingabe+TW'!$W37)&gt;0,'JSM Eingabe+TW'!$W37,"")</f>
        <v/>
      </c>
    </row>
    <row r="284" spans="1:5" x14ac:dyDescent="0.2">
      <c r="A284" s="212">
        <v>7</v>
      </c>
      <c r="B284" s="212">
        <v>10</v>
      </c>
      <c r="C284" s="840">
        <f>DATE('JSM Eingabe+TW'!$AB$7,$B284,$A284)</f>
        <v>281</v>
      </c>
      <c r="D284" s="212" t="str">
        <f>IF(LEN('JSM Eingabe+TW'!$V38)&gt;0,'JSM Eingabe+TW'!$V38,"")</f>
        <v/>
      </c>
      <c r="E284" s="841" t="str">
        <f>IF(LEN('JSM Eingabe+TW'!$W38)&gt;0,'JSM Eingabe+TW'!$W38,"")</f>
        <v/>
      </c>
    </row>
    <row r="285" spans="1:5" x14ac:dyDescent="0.2">
      <c r="A285" s="212">
        <v>8</v>
      </c>
      <c r="B285" s="212">
        <v>10</v>
      </c>
      <c r="C285" s="840">
        <f>DATE('JSM Eingabe+TW'!$AB$7,$B285,$A285)</f>
        <v>282</v>
      </c>
      <c r="D285" s="212" t="str">
        <f>IF(LEN('JSM Eingabe+TW'!$V39)&gt;0,'JSM Eingabe+TW'!$V39,"")</f>
        <v/>
      </c>
      <c r="E285" s="841" t="str">
        <f>IF(LEN('JSM Eingabe+TW'!$W39)&gt;0,'JSM Eingabe+TW'!$W39,"")</f>
        <v/>
      </c>
    </row>
    <row r="286" spans="1:5" x14ac:dyDescent="0.2">
      <c r="A286" s="212">
        <v>9</v>
      </c>
      <c r="B286" s="212">
        <v>10</v>
      </c>
      <c r="C286" s="840">
        <f>DATE('JSM Eingabe+TW'!$AB$7,$B286,$A286)</f>
        <v>283</v>
      </c>
      <c r="D286" s="212" t="str">
        <f>IF(LEN('JSM Eingabe+TW'!$V40)&gt;0,'JSM Eingabe+TW'!$V40,"")</f>
        <v/>
      </c>
      <c r="E286" s="841" t="str">
        <f>IF(LEN('JSM Eingabe+TW'!$W40)&gt;0,'JSM Eingabe+TW'!$W40,"")</f>
        <v/>
      </c>
    </row>
    <row r="287" spans="1:5" x14ac:dyDescent="0.2">
      <c r="A287" s="212">
        <v>10</v>
      </c>
      <c r="B287" s="212">
        <v>10</v>
      </c>
      <c r="C287" s="840">
        <f>DATE('JSM Eingabe+TW'!$AB$7,$B287,$A287)</f>
        <v>284</v>
      </c>
      <c r="D287" s="212" t="str">
        <f>IF(LEN('JSM Eingabe+TW'!$V41)&gt;0,'JSM Eingabe+TW'!$V41,"")</f>
        <v/>
      </c>
      <c r="E287" s="841" t="str">
        <f>IF(LEN('JSM Eingabe+TW'!$W41)&gt;0,'JSM Eingabe+TW'!$W41,"")</f>
        <v/>
      </c>
    </row>
    <row r="288" spans="1:5" x14ac:dyDescent="0.2">
      <c r="A288" s="212">
        <v>11</v>
      </c>
      <c r="B288" s="212">
        <v>10</v>
      </c>
      <c r="C288" s="840">
        <f>DATE('JSM Eingabe+TW'!$AB$7,$B288,$A288)</f>
        <v>285</v>
      </c>
      <c r="D288" s="212" t="str">
        <f>IF(LEN('JSM Eingabe+TW'!$V42)&gt;0,'JSM Eingabe+TW'!$V42,"")</f>
        <v/>
      </c>
      <c r="E288" s="841" t="str">
        <f>IF(LEN('JSM Eingabe+TW'!$W42)&gt;0,'JSM Eingabe+TW'!$W42,"")</f>
        <v/>
      </c>
    </row>
    <row r="289" spans="1:5" x14ac:dyDescent="0.2">
      <c r="A289" s="212">
        <v>12</v>
      </c>
      <c r="B289" s="212">
        <v>10</v>
      </c>
      <c r="C289" s="840">
        <f>DATE('JSM Eingabe+TW'!$AB$7,$B289,$A289)</f>
        <v>286</v>
      </c>
      <c r="D289" s="212" t="str">
        <f>IF(LEN('JSM Eingabe+TW'!$V43)&gt;0,'JSM Eingabe+TW'!$V43,"")</f>
        <v/>
      </c>
      <c r="E289" s="841" t="str">
        <f>IF(LEN('JSM Eingabe+TW'!$W43)&gt;0,'JSM Eingabe+TW'!$W43,"")</f>
        <v/>
      </c>
    </row>
    <row r="290" spans="1:5" x14ac:dyDescent="0.2">
      <c r="A290" s="212">
        <v>13</v>
      </c>
      <c r="B290" s="212">
        <v>10</v>
      </c>
      <c r="C290" s="840">
        <f>DATE('JSM Eingabe+TW'!$AB$7,$B290,$A290)</f>
        <v>287</v>
      </c>
      <c r="D290" s="212" t="str">
        <f>IF(LEN('JSM Eingabe+TW'!$V44)&gt;0,'JSM Eingabe+TW'!$V44,"")</f>
        <v/>
      </c>
      <c r="E290" s="841" t="str">
        <f>IF(LEN('JSM Eingabe+TW'!$W44)&gt;0,'JSM Eingabe+TW'!$W44,"")</f>
        <v/>
      </c>
    </row>
    <row r="291" spans="1:5" x14ac:dyDescent="0.2">
      <c r="A291" s="212">
        <v>14</v>
      </c>
      <c r="B291" s="212">
        <v>10</v>
      </c>
      <c r="C291" s="840">
        <f>DATE('JSM Eingabe+TW'!$AB$7,$B291,$A291)</f>
        <v>288</v>
      </c>
      <c r="D291" s="212" t="str">
        <f>IF(LEN('JSM Eingabe+TW'!$V45)&gt;0,'JSM Eingabe+TW'!$V45,"")</f>
        <v/>
      </c>
      <c r="E291" s="841" t="str">
        <f>IF(LEN('JSM Eingabe+TW'!$W45)&gt;0,'JSM Eingabe+TW'!$W45,"")</f>
        <v/>
      </c>
    </row>
    <row r="292" spans="1:5" x14ac:dyDescent="0.2">
      <c r="A292" s="212">
        <v>15</v>
      </c>
      <c r="B292" s="212">
        <v>10</v>
      </c>
      <c r="C292" s="840">
        <f>DATE('JSM Eingabe+TW'!$AB$7,$B292,$A292)</f>
        <v>289</v>
      </c>
      <c r="D292" s="212" t="str">
        <f>IF(LEN('JSM Eingabe+TW'!$V46)&gt;0,'JSM Eingabe+TW'!$V46,"")</f>
        <v/>
      </c>
      <c r="E292" s="841" t="str">
        <f>IF(LEN('JSM Eingabe+TW'!$W46)&gt;0,'JSM Eingabe+TW'!$W46,"")</f>
        <v/>
      </c>
    </row>
    <row r="293" spans="1:5" x14ac:dyDescent="0.2">
      <c r="A293" s="212">
        <v>16</v>
      </c>
      <c r="B293" s="212">
        <v>10</v>
      </c>
      <c r="C293" s="840">
        <f>DATE('JSM Eingabe+TW'!$AB$7,$B293,$A293)</f>
        <v>290</v>
      </c>
      <c r="D293" s="212" t="str">
        <f>IF(LEN('JSM Eingabe+TW'!$V47)&gt;0,'JSM Eingabe+TW'!$V47,"")</f>
        <v/>
      </c>
      <c r="E293" s="841" t="str">
        <f>IF(LEN('JSM Eingabe+TW'!$W47)&gt;0,'JSM Eingabe+TW'!$W47,"")</f>
        <v/>
      </c>
    </row>
    <row r="294" spans="1:5" x14ac:dyDescent="0.2">
      <c r="A294" s="212">
        <v>17</v>
      </c>
      <c r="B294" s="212">
        <v>10</v>
      </c>
      <c r="C294" s="840">
        <f>DATE('JSM Eingabe+TW'!$AB$7,$B294,$A294)</f>
        <v>291</v>
      </c>
      <c r="D294" s="212" t="str">
        <f>IF(LEN('JSM Eingabe+TW'!$V48)&gt;0,'JSM Eingabe+TW'!$V48,"")</f>
        <v/>
      </c>
      <c r="E294" s="841" t="str">
        <f>IF(LEN('JSM Eingabe+TW'!$W48)&gt;0,'JSM Eingabe+TW'!$W48,"")</f>
        <v/>
      </c>
    </row>
    <row r="295" spans="1:5" x14ac:dyDescent="0.2">
      <c r="A295" s="212">
        <v>18</v>
      </c>
      <c r="B295" s="212">
        <v>10</v>
      </c>
      <c r="C295" s="840">
        <f>DATE('JSM Eingabe+TW'!$AB$7,$B295,$A295)</f>
        <v>292</v>
      </c>
      <c r="D295" s="212" t="str">
        <f>IF(LEN('JSM Eingabe+TW'!$V49)&gt;0,'JSM Eingabe+TW'!$V49,"")</f>
        <v/>
      </c>
      <c r="E295" s="841" t="str">
        <f>IF(LEN('JSM Eingabe+TW'!$W49)&gt;0,'JSM Eingabe+TW'!$W49,"")</f>
        <v/>
      </c>
    </row>
    <row r="296" spans="1:5" x14ac:dyDescent="0.2">
      <c r="A296" s="212">
        <v>19</v>
      </c>
      <c r="B296" s="212">
        <v>10</v>
      </c>
      <c r="C296" s="840">
        <f>DATE('JSM Eingabe+TW'!$AB$7,$B296,$A296)</f>
        <v>293</v>
      </c>
      <c r="D296" s="212" t="str">
        <f>IF(LEN('JSM Eingabe+TW'!$V50)&gt;0,'JSM Eingabe+TW'!$V50,"")</f>
        <v/>
      </c>
      <c r="E296" s="841" t="str">
        <f>IF(LEN('JSM Eingabe+TW'!$W50)&gt;0,'JSM Eingabe+TW'!$W50,"")</f>
        <v/>
      </c>
    </row>
    <row r="297" spans="1:5" x14ac:dyDescent="0.2">
      <c r="A297" s="212">
        <v>20</v>
      </c>
      <c r="B297" s="212">
        <v>10</v>
      </c>
      <c r="C297" s="840">
        <f>DATE('JSM Eingabe+TW'!$AB$7,$B297,$A297)</f>
        <v>294</v>
      </c>
      <c r="D297" s="212" t="str">
        <f>IF(LEN('JSM Eingabe+TW'!$V51)&gt;0,'JSM Eingabe+TW'!$V51,"")</f>
        <v/>
      </c>
      <c r="E297" s="841" t="str">
        <f>IF(LEN('JSM Eingabe+TW'!$W51)&gt;0,'JSM Eingabe+TW'!$W51,"")</f>
        <v/>
      </c>
    </row>
    <row r="298" spans="1:5" x14ac:dyDescent="0.2">
      <c r="A298" s="212">
        <v>21</v>
      </c>
      <c r="B298" s="212">
        <v>10</v>
      </c>
      <c r="C298" s="840">
        <f>DATE('JSM Eingabe+TW'!$AB$7,$B298,$A298)</f>
        <v>295</v>
      </c>
      <c r="D298" s="212" t="str">
        <f>IF(LEN('JSM Eingabe+TW'!$V52)&gt;0,'JSM Eingabe+TW'!$V52,"")</f>
        <v/>
      </c>
      <c r="E298" s="841" t="str">
        <f>IF(LEN('JSM Eingabe+TW'!$W52)&gt;0,'JSM Eingabe+TW'!$W52,"")</f>
        <v/>
      </c>
    </row>
    <row r="299" spans="1:5" x14ac:dyDescent="0.2">
      <c r="A299" s="212">
        <v>22</v>
      </c>
      <c r="B299" s="212">
        <v>10</v>
      </c>
      <c r="C299" s="840">
        <f>DATE('JSM Eingabe+TW'!$AB$7,$B299,$A299)</f>
        <v>296</v>
      </c>
      <c r="D299" s="212" t="str">
        <f>IF(LEN('JSM Eingabe+TW'!$V53)&gt;0,'JSM Eingabe+TW'!$V53,"")</f>
        <v/>
      </c>
      <c r="E299" s="841" t="str">
        <f>IF(LEN('JSM Eingabe+TW'!$W53)&gt;0,'JSM Eingabe+TW'!$W53,"")</f>
        <v/>
      </c>
    </row>
    <row r="300" spans="1:5" x14ac:dyDescent="0.2">
      <c r="A300" s="212">
        <v>23</v>
      </c>
      <c r="B300" s="212">
        <v>10</v>
      </c>
      <c r="C300" s="840">
        <f>DATE('JSM Eingabe+TW'!$AB$7,$B300,$A300)</f>
        <v>297</v>
      </c>
      <c r="D300" s="212" t="str">
        <f>IF(LEN('JSM Eingabe+TW'!$V54)&gt;0,'JSM Eingabe+TW'!$V54,"")</f>
        <v/>
      </c>
      <c r="E300" s="841" t="str">
        <f>IF(LEN('JSM Eingabe+TW'!$W54)&gt;0,'JSM Eingabe+TW'!$W54,"")</f>
        <v/>
      </c>
    </row>
    <row r="301" spans="1:5" x14ac:dyDescent="0.2">
      <c r="A301" s="212">
        <v>24</v>
      </c>
      <c r="B301" s="212">
        <v>10</v>
      </c>
      <c r="C301" s="840">
        <f>DATE('JSM Eingabe+TW'!$AB$7,$B301,$A301)</f>
        <v>298</v>
      </c>
      <c r="D301" s="212" t="str">
        <f>IF(LEN('JSM Eingabe+TW'!$V55)&gt;0,'JSM Eingabe+TW'!$V55,"")</f>
        <v/>
      </c>
      <c r="E301" s="841" t="str">
        <f>IF(LEN('JSM Eingabe+TW'!$W55)&gt;0,'JSM Eingabe+TW'!$W55,"")</f>
        <v/>
      </c>
    </row>
    <row r="302" spans="1:5" x14ac:dyDescent="0.2">
      <c r="A302" s="212">
        <v>25</v>
      </c>
      <c r="B302" s="212">
        <v>10</v>
      </c>
      <c r="C302" s="840">
        <f>DATE('JSM Eingabe+TW'!$AB$7,$B302,$A302)</f>
        <v>299</v>
      </c>
      <c r="D302" s="212" t="str">
        <f>IF(LEN('JSM Eingabe+TW'!$V56)&gt;0,'JSM Eingabe+TW'!$V56,"")</f>
        <v/>
      </c>
      <c r="E302" s="841" t="str">
        <f>IF(LEN('JSM Eingabe+TW'!$W56)&gt;0,'JSM Eingabe+TW'!$W56,"")</f>
        <v/>
      </c>
    </row>
    <row r="303" spans="1:5" x14ac:dyDescent="0.2">
      <c r="A303" s="212">
        <v>26</v>
      </c>
      <c r="B303" s="212">
        <v>10</v>
      </c>
      <c r="C303" s="840">
        <f>DATE('JSM Eingabe+TW'!$AB$7,$B303,$A303)</f>
        <v>300</v>
      </c>
      <c r="D303" s="212" t="str">
        <f>IF(LEN('JSM Eingabe+TW'!$V57)&gt;0,'JSM Eingabe+TW'!$V57,"")</f>
        <v/>
      </c>
      <c r="E303" s="841" t="str">
        <f>IF(LEN('JSM Eingabe+TW'!$W57)&gt;0,'JSM Eingabe+TW'!$W57,"")</f>
        <v/>
      </c>
    </row>
    <row r="304" spans="1:5" x14ac:dyDescent="0.2">
      <c r="A304" s="212">
        <v>27</v>
      </c>
      <c r="B304" s="212">
        <v>10</v>
      </c>
      <c r="C304" s="840">
        <f>DATE('JSM Eingabe+TW'!$AB$7,$B304,$A304)</f>
        <v>301</v>
      </c>
      <c r="D304" s="212" t="str">
        <f>IF(LEN('JSM Eingabe+TW'!$V58)&gt;0,'JSM Eingabe+TW'!$V58,"")</f>
        <v/>
      </c>
      <c r="E304" s="841" t="str">
        <f>IF(LEN('JSM Eingabe+TW'!$W58)&gt;0,'JSM Eingabe+TW'!$W58,"")</f>
        <v/>
      </c>
    </row>
    <row r="305" spans="1:5" x14ac:dyDescent="0.2">
      <c r="A305" s="212">
        <v>28</v>
      </c>
      <c r="B305" s="212">
        <v>10</v>
      </c>
      <c r="C305" s="840">
        <f>DATE('JSM Eingabe+TW'!$AB$7,$B305,$A305)</f>
        <v>302</v>
      </c>
      <c r="D305" s="212" t="str">
        <f>IF(LEN('JSM Eingabe+TW'!$V59)&gt;0,'JSM Eingabe+TW'!$V59,"")</f>
        <v/>
      </c>
      <c r="E305" s="841" t="str">
        <f>IF(LEN('JSM Eingabe+TW'!$W59)&gt;0,'JSM Eingabe+TW'!$W59,"")</f>
        <v/>
      </c>
    </row>
    <row r="306" spans="1:5" x14ac:dyDescent="0.2">
      <c r="A306" s="212">
        <v>29</v>
      </c>
      <c r="B306" s="212">
        <v>10</v>
      </c>
      <c r="C306" s="840">
        <f>DATE('JSM Eingabe+TW'!$AB$7,$B306,$A306)</f>
        <v>303</v>
      </c>
      <c r="D306" s="212" t="str">
        <f>IF(LEN('JSM Eingabe+TW'!$V60)&gt;0,'JSM Eingabe+TW'!$V60,"")</f>
        <v/>
      </c>
      <c r="E306" s="841" t="str">
        <f>IF(LEN('JSM Eingabe+TW'!$W60)&gt;0,'JSM Eingabe+TW'!$W60,"")</f>
        <v/>
      </c>
    </row>
    <row r="307" spans="1:5" x14ac:dyDescent="0.2">
      <c r="A307" s="212">
        <v>30</v>
      </c>
      <c r="B307" s="212">
        <v>10</v>
      </c>
      <c r="C307" s="840">
        <f>DATE('JSM Eingabe+TW'!$AB$7,$B307,$A307)</f>
        <v>304</v>
      </c>
      <c r="D307" s="212" t="str">
        <f>IF(LEN('JSM Eingabe+TW'!$V61)&gt;0,'JSM Eingabe+TW'!$V61,"")</f>
        <v/>
      </c>
      <c r="E307" s="841" t="str">
        <f>IF(LEN('JSM Eingabe+TW'!$W61)&gt;0,'JSM Eingabe+TW'!$W61,"")</f>
        <v/>
      </c>
    </row>
    <row r="308" spans="1:5" x14ac:dyDescent="0.2">
      <c r="A308" s="212">
        <v>31</v>
      </c>
      <c r="B308" s="212">
        <v>10</v>
      </c>
      <c r="C308" s="840">
        <f>DATE('JSM Eingabe+TW'!$AB$7,$B308,$A308)</f>
        <v>305</v>
      </c>
      <c r="D308" s="212" t="str">
        <f>IF(LEN('JSM Eingabe+TW'!$V62)&gt;0,'JSM Eingabe+TW'!$V62,"")</f>
        <v/>
      </c>
      <c r="E308" s="841" t="str">
        <f>IF(LEN('JSM Eingabe+TW'!$W62)&gt;0,'JSM Eingabe+TW'!$W62,"")</f>
        <v/>
      </c>
    </row>
    <row r="309" spans="1:5" x14ac:dyDescent="0.2">
      <c r="A309" s="212">
        <v>1</v>
      </c>
      <c r="B309" s="212">
        <v>11</v>
      </c>
      <c r="C309" s="840">
        <f>DATE('JSM Eingabe+TW'!$AB$7,$B309,$A309)</f>
        <v>306</v>
      </c>
      <c r="D309" s="212" t="str">
        <f>IF(LEN('JSM Eingabe+TW'!$X32)&gt;0,'JSM Eingabe+TW'!$X32,"")</f>
        <v/>
      </c>
      <c r="E309" s="841" t="str">
        <f>IF(LEN('JSM Eingabe+TW'!$Y32)&gt;0,'JSM Eingabe+TW'!$Y32,"")</f>
        <v/>
      </c>
    </row>
    <row r="310" spans="1:5" x14ac:dyDescent="0.2">
      <c r="A310" s="212">
        <v>2</v>
      </c>
      <c r="B310" s="212">
        <v>11</v>
      </c>
      <c r="C310" s="840">
        <f>DATE('JSM Eingabe+TW'!$AB$7,$B310,$A310)</f>
        <v>307</v>
      </c>
      <c r="D310" s="212" t="str">
        <f>IF(LEN('JSM Eingabe+TW'!$X33)&gt;0,'JSM Eingabe+TW'!$X33,"")</f>
        <v/>
      </c>
      <c r="E310" s="841" t="str">
        <f>IF(LEN('JSM Eingabe+TW'!$Y33)&gt;0,'JSM Eingabe+TW'!$Y33,"")</f>
        <v/>
      </c>
    </row>
    <row r="311" spans="1:5" x14ac:dyDescent="0.2">
      <c r="A311" s="212">
        <v>3</v>
      </c>
      <c r="B311" s="212">
        <v>11</v>
      </c>
      <c r="C311" s="840">
        <f>DATE('JSM Eingabe+TW'!$AB$7,$B311,$A311)</f>
        <v>308</v>
      </c>
      <c r="D311" s="212" t="str">
        <f>IF(LEN('JSM Eingabe+TW'!$X34)&gt;0,'JSM Eingabe+TW'!$X34,"")</f>
        <v/>
      </c>
      <c r="E311" s="841" t="str">
        <f>IF(LEN('JSM Eingabe+TW'!$Y34)&gt;0,'JSM Eingabe+TW'!$Y34,"")</f>
        <v/>
      </c>
    </row>
    <row r="312" spans="1:5" x14ac:dyDescent="0.2">
      <c r="A312" s="212">
        <v>4</v>
      </c>
      <c r="B312" s="212">
        <v>11</v>
      </c>
      <c r="C312" s="840">
        <f>DATE('JSM Eingabe+TW'!$AB$7,$B312,$A312)</f>
        <v>309</v>
      </c>
      <c r="D312" s="212" t="str">
        <f>IF(LEN('JSM Eingabe+TW'!$X35)&gt;0,'JSM Eingabe+TW'!$X35,"")</f>
        <v/>
      </c>
      <c r="E312" s="841" t="str">
        <f>IF(LEN('JSM Eingabe+TW'!$Y35)&gt;0,'JSM Eingabe+TW'!$Y35,"")</f>
        <v/>
      </c>
    </row>
    <row r="313" spans="1:5" x14ac:dyDescent="0.2">
      <c r="A313" s="212">
        <v>5</v>
      </c>
      <c r="B313" s="212">
        <v>11</v>
      </c>
      <c r="C313" s="840">
        <f>DATE('JSM Eingabe+TW'!$AB$7,$B313,$A313)</f>
        <v>310</v>
      </c>
      <c r="D313" s="212" t="str">
        <f>IF(LEN('JSM Eingabe+TW'!$X36)&gt;0,'JSM Eingabe+TW'!$X36,"")</f>
        <v/>
      </c>
      <c r="E313" s="841" t="str">
        <f>IF(LEN('JSM Eingabe+TW'!$Y36)&gt;0,'JSM Eingabe+TW'!$Y36,"")</f>
        <v/>
      </c>
    </row>
    <row r="314" spans="1:5" x14ac:dyDescent="0.2">
      <c r="A314" s="212">
        <v>6</v>
      </c>
      <c r="B314" s="212">
        <v>11</v>
      </c>
      <c r="C314" s="840">
        <f>DATE('JSM Eingabe+TW'!$AB$7,$B314,$A314)</f>
        <v>311</v>
      </c>
      <c r="D314" s="212" t="str">
        <f>IF(LEN('JSM Eingabe+TW'!$X37)&gt;0,'JSM Eingabe+TW'!$X37,"")</f>
        <v/>
      </c>
      <c r="E314" s="841" t="str">
        <f>IF(LEN('JSM Eingabe+TW'!$Y37)&gt;0,'JSM Eingabe+TW'!$Y37,"")</f>
        <v/>
      </c>
    </row>
    <row r="315" spans="1:5" x14ac:dyDescent="0.2">
      <c r="A315" s="212">
        <v>7</v>
      </c>
      <c r="B315" s="212">
        <v>11</v>
      </c>
      <c r="C315" s="840">
        <f>DATE('JSM Eingabe+TW'!$AB$7,$B315,$A315)</f>
        <v>312</v>
      </c>
      <c r="D315" s="212" t="str">
        <f>IF(LEN('JSM Eingabe+TW'!$X38)&gt;0,'JSM Eingabe+TW'!$X38,"")</f>
        <v/>
      </c>
      <c r="E315" s="841" t="str">
        <f>IF(LEN('JSM Eingabe+TW'!$Y38)&gt;0,'JSM Eingabe+TW'!$Y38,"")</f>
        <v/>
      </c>
    </row>
    <row r="316" spans="1:5" x14ac:dyDescent="0.2">
      <c r="A316" s="212">
        <v>8</v>
      </c>
      <c r="B316" s="212">
        <v>11</v>
      </c>
      <c r="C316" s="840">
        <f>DATE('JSM Eingabe+TW'!$AB$7,$B316,$A316)</f>
        <v>313</v>
      </c>
      <c r="D316" s="212" t="str">
        <f>IF(LEN('JSM Eingabe+TW'!$X39)&gt;0,'JSM Eingabe+TW'!$X39,"")</f>
        <v/>
      </c>
      <c r="E316" s="841" t="str">
        <f>IF(LEN('JSM Eingabe+TW'!$Y39)&gt;0,'JSM Eingabe+TW'!$Y39,"")</f>
        <v/>
      </c>
    </row>
    <row r="317" spans="1:5" x14ac:dyDescent="0.2">
      <c r="A317" s="212">
        <v>9</v>
      </c>
      <c r="B317" s="212">
        <v>11</v>
      </c>
      <c r="C317" s="840">
        <f>DATE('JSM Eingabe+TW'!$AB$7,$B317,$A317)</f>
        <v>314</v>
      </c>
      <c r="D317" s="212" t="str">
        <f>IF(LEN('JSM Eingabe+TW'!$X40)&gt;0,'JSM Eingabe+TW'!$X40,"")</f>
        <v/>
      </c>
      <c r="E317" s="841" t="str">
        <f>IF(LEN('JSM Eingabe+TW'!$Y40)&gt;0,'JSM Eingabe+TW'!$Y40,"")</f>
        <v/>
      </c>
    </row>
    <row r="318" spans="1:5" x14ac:dyDescent="0.2">
      <c r="A318" s="212">
        <v>10</v>
      </c>
      <c r="B318" s="212">
        <v>11</v>
      </c>
      <c r="C318" s="840">
        <f>DATE('JSM Eingabe+TW'!$AB$7,$B318,$A318)</f>
        <v>315</v>
      </c>
      <c r="D318" s="212" t="str">
        <f>IF(LEN('JSM Eingabe+TW'!$X41)&gt;0,'JSM Eingabe+TW'!$X41,"")</f>
        <v/>
      </c>
      <c r="E318" s="841" t="str">
        <f>IF(LEN('JSM Eingabe+TW'!$Y41)&gt;0,'JSM Eingabe+TW'!$Y41,"")</f>
        <v/>
      </c>
    </row>
    <row r="319" spans="1:5" x14ac:dyDescent="0.2">
      <c r="A319" s="212">
        <v>11</v>
      </c>
      <c r="B319" s="212">
        <v>11</v>
      </c>
      <c r="C319" s="840">
        <f>DATE('JSM Eingabe+TW'!$AB$7,$B319,$A319)</f>
        <v>316</v>
      </c>
      <c r="D319" s="212" t="str">
        <f>IF(LEN('JSM Eingabe+TW'!$X42)&gt;0,'JSM Eingabe+TW'!$X42,"")</f>
        <v/>
      </c>
      <c r="E319" s="841" t="str">
        <f>IF(LEN('JSM Eingabe+TW'!$Y42)&gt;0,'JSM Eingabe+TW'!$Y42,"")</f>
        <v/>
      </c>
    </row>
    <row r="320" spans="1:5" x14ac:dyDescent="0.2">
      <c r="A320" s="212">
        <v>12</v>
      </c>
      <c r="B320" s="212">
        <v>11</v>
      </c>
      <c r="C320" s="840">
        <f>DATE('JSM Eingabe+TW'!$AB$7,$B320,$A320)</f>
        <v>317</v>
      </c>
      <c r="D320" s="212" t="str">
        <f>IF(LEN('JSM Eingabe+TW'!$X43)&gt;0,'JSM Eingabe+TW'!$X43,"")</f>
        <v/>
      </c>
      <c r="E320" s="841" t="str">
        <f>IF(LEN('JSM Eingabe+TW'!$Y43)&gt;0,'JSM Eingabe+TW'!$Y43,"")</f>
        <v/>
      </c>
    </row>
    <row r="321" spans="1:5" x14ac:dyDescent="0.2">
      <c r="A321" s="212">
        <v>13</v>
      </c>
      <c r="B321" s="212">
        <v>11</v>
      </c>
      <c r="C321" s="840">
        <f>DATE('JSM Eingabe+TW'!$AB$7,$B321,$A321)</f>
        <v>318</v>
      </c>
      <c r="D321" s="212" t="str">
        <f>IF(LEN('JSM Eingabe+TW'!$X44)&gt;0,'JSM Eingabe+TW'!$X44,"")</f>
        <v/>
      </c>
      <c r="E321" s="841" t="str">
        <f>IF(LEN('JSM Eingabe+TW'!$Y44)&gt;0,'JSM Eingabe+TW'!$Y44,"")</f>
        <v/>
      </c>
    </row>
    <row r="322" spans="1:5" x14ac:dyDescent="0.2">
      <c r="A322" s="212">
        <v>14</v>
      </c>
      <c r="B322" s="212">
        <v>11</v>
      </c>
      <c r="C322" s="840">
        <f>DATE('JSM Eingabe+TW'!$AB$7,$B322,$A322)</f>
        <v>319</v>
      </c>
      <c r="D322" s="212" t="str">
        <f>IF(LEN('JSM Eingabe+TW'!$X45)&gt;0,'JSM Eingabe+TW'!$X45,"")</f>
        <v/>
      </c>
      <c r="E322" s="841" t="str">
        <f>IF(LEN('JSM Eingabe+TW'!$Y45)&gt;0,'JSM Eingabe+TW'!$Y45,"")</f>
        <v/>
      </c>
    </row>
    <row r="323" spans="1:5" x14ac:dyDescent="0.2">
      <c r="A323" s="212">
        <v>15</v>
      </c>
      <c r="B323" s="212">
        <v>11</v>
      </c>
      <c r="C323" s="840">
        <f>DATE('JSM Eingabe+TW'!$AB$7,$B323,$A323)</f>
        <v>320</v>
      </c>
      <c r="D323" s="212" t="str">
        <f>IF(LEN('JSM Eingabe+TW'!$X46)&gt;0,'JSM Eingabe+TW'!$X46,"")</f>
        <v/>
      </c>
      <c r="E323" s="841" t="str">
        <f>IF(LEN('JSM Eingabe+TW'!$Y46)&gt;0,'JSM Eingabe+TW'!$Y46,"")</f>
        <v/>
      </c>
    </row>
    <row r="324" spans="1:5" x14ac:dyDescent="0.2">
      <c r="A324" s="212">
        <v>16</v>
      </c>
      <c r="B324" s="212">
        <v>11</v>
      </c>
      <c r="C324" s="840">
        <f>DATE('JSM Eingabe+TW'!$AB$7,$B324,$A324)</f>
        <v>321</v>
      </c>
      <c r="D324" s="212" t="str">
        <f>IF(LEN('JSM Eingabe+TW'!$X47)&gt;0,'JSM Eingabe+TW'!$X47,"")</f>
        <v/>
      </c>
      <c r="E324" s="841" t="str">
        <f>IF(LEN('JSM Eingabe+TW'!$Y47)&gt;0,'JSM Eingabe+TW'!$Y47,"")</f>
        <v/>
      </c>
    </row>
    <row r="325" spans="1:5" x14ac:dyDescent="0.2">
      <c r="A325" s="212">
        <v>17</v>
      </c>
      <c r="B325" s="212">
        <v>11</v>
      </c>
      <c r="C325" s="840">
        <f>DATE('JSM Eingabe+TW'!$AB$7,$B325,$A325)</f>
        <v>322</v>
      </c>
      <c r="D325" s="212" t="str">
        <f>IF(LEN('JSM Eingabe+TW'!$X48)&gt;0,'JSM Eingabe+TW'!$X48,"")</f>
        <v/>
      </c>
      <c r="E325" s="841" t="str">
        <f>IF(LEN('JSM Eingabe+TW'!$Y48)&gt;0,'JSM Eingabe+TW'!$Y48,"")</f>
        <v/>
      </c>
    </row>
    <row r="326" spans="1:5" x14ac:dyDescent="0.2">
      <c r="A326" s="212">
        <v>18</v>
      </c>
      <c r="B326" s="212">
        <v>11</v>
      </c>
      <c r="C326" s="840">
        <f>DATE('JSM Eingabe+TW'!$AB$7,$B326,$A326)</f>
        <v>323</v>
      </c>
      <c r="D326" s="212" t="str">
        <f>IF(LEN('JSM Eingabe+TW'!$X49)&gt;0,'JSM Eingabe+TW'!$X49,"")</f>
        <v/>
      </c>
      <c r="E326" s="841" t="str">
        <f>IF(LEN('JSM Eingabe+TW'!$Y49)&gt;0,'JSM Eingabe+TW'!$Y49,"")</f>
        <v/>
      </c>
    </row>
    <row r="327" spans="1:5" x14ac:dyDescent="0.2">
      <c r="A327" s="212">
        <v>19</v>
      </c>
      <c r="B327" s="212">
        <v>11</v>
      </c>
      <c r="C327" s="840">
        <f>DATE('JSM Eingabe+TW'!$AB$7,$B327,$A327)</f>
        <v>324</v>
      </c>
      <c r="D327" s="212" t="str">
        <f>IF(LEN('JSM Eingabe+TW'!$X50)&gt;0,'JSM Eingabe+TW'!$X50,"")</f>
        <v/>
      </c>
      <c r="E327" s="841" t="str">
        <f>IF(LEN('JSM Eingabe+TW'!$Y50)&gt;0,'JSM Eingabe+TW'!$Y50,"")</f>
        <v/>
      </c>
    </row>
    <row r="328" spans="1:5" x14ac:dyDescent="0.2">
      <c r="A328" s="212">
        <v>20</v>
      </c>
      <c r="B328" s="212">
        <v>11</v>
      </c>
      <c r="C328" s="840">
        <f>DATE('JSM Eingabe+TW'!$AB$7,$B328,$A328)</f>
        <v>325</v>
      </c>
      <c r="D328" s="212" t="str">
        <f>IF(LEN('JSM Eingabe+TW'!$X51)&gt;0,'JSM Eingabe+TW'!$X51,"")</f>
        <v/>
      </c>
      <c r="E328" s="841" t="str">
        <f>IF(LEN('JSM Eingabe+TW'!$Y51)&gt;0,'JSM Eingabe+TW'!$Y51,"")</f>
        <v/>
      </c>
    </row>
    <row r="329" spans="1:5" x14ac:dyDescent="0.2">
      <c r="A329" s="212">
        <v>21</v>
      </c>
      <c r="B329" s="212">
        <v>11</v>
      </c>
      <c r="C329" s="840">
        <f>DATE('JSM Eingabe+TW'!$AB$7,$B329,$A329)</f>
        <v>326</v>
      </c>
      <c r="D329" s="212" t="str">
        <f>IF(LEN('JSM Eingabe+TW'!$X52)&gt;0,'JSM Eingabe+TW'!$X52,"")</f>
        <v/>
      </c>
      <c r="E329" s="841" t="str">
        <f>IF(LEN('JSM Eingabe+TW'!$Y52)&gt;0,'JSM Eingabe+TW'!$Y52,"")</f>
        <v/>
      </c>
    </row>
    <row r="330" spans="1:5" x14ac:dyDescent="0.2">
      <c r="A330" s="212">
        <v>22</v>
      </c>
      <c r="B330" s="212">
        <v>11</v>
      </c>
      <c r="C330" s="840">
        <f>DATE('JSM Eingabe+TW'!$AB$7,$B330,$A330)</f>
        <v>327</v>
      </c>
      <c r="D330" s="212" t="str">
        <f>IF(LEN('JSM Eingabe+TW'!$X53)&gt;0,'JSM Eingabe+TW'!$X53,"")</f>
        <v/>
      </c>
      <c r="E330" s="841" t="str">
        <f>IF(LEN('JSM Eingabe+TW'!$Y53)&gt;0,'JSM Eingabe+TW'!$Y53,"")</f>
        <v/>
      </c>
    </row>
    <row r="331" spans="1:5" x14ac:dyDescent="0.2">
      <c r="A331" s="212">
        <v>23</v>
      </c>
      <c r="B331" s="212">
        <v>11</v>
      </c>
      <c r="C331" s="840">
        <f>DATE('JSM Eingabe+TW'!$AB$7,$B331,$A331)</f>
        <v>328</v>
      </c>
      <c r="D331" s="212" t="str">
        <f>IF(LEN('JSM Eingabe+TW'!$X54)&gt;0,'JSM Eingabe+TW'!$X54,"")</f>
        <v/>
      </c>
      <c r="E331" s="841" t="str">
        <f>IF(LEN('JSM Eingabe+TW'!$Y54)&gt;0,'JSM Eingabe+TW'!$Y54,"")</f>
        <v/>
      </c>
    </row>
    <row r="332" spans="1:5" x14ac:dyDescent="0.2">
      <c r="A332" s="212">
        <v>24</v>
      </c>
      <c r="B332" s="212">
        <v>11</v>
      </c>
      <c r="C332" s="840">
        <f>DATE('JSM Eingabe+TW'!$AB$7,$B332,$A332)</f>
        <v>329</v>
      </c>
      <c r="D332" s="212" t="str">
        <f>IF(LEN('JSM Eingabe+TW'!$X55)&gt;0,'JSM Eingabe+TW'!$X55,"")</f>
        <v/>
      </c>
      <c r="E332" s="841" t="str">
        <f>IF(LEN('JSM Eingabe+TW'!$Y55)&gt;0,'JSM Eingabe+TW'!$Y55,"")</f>
        <v/>
      </c>
    </row>
    <row r="333" spans="1:5" x14ac:dyDescent="0.2">
      <c r="A333" s="212">
        <v>25</v>
      </c>
      <c r="B333" s="212">
        <v>11</v>
      </c>
      <c r="C333" s="840">
        <f>DATE('JSM Eingabe+TW'!$AB$7,$B333,$A333)</f>
        <v>330</v>
      </c>
      <c r="D333" s="212" t="str">
        <f>IF(LEN('JSM Eingabe+TW'!$X56)&gt;0,'JSM Eingabe+TW'!$X56,"")</f>
        <v/>
      </c>
      <c r="E333" s="841" t="str">
        <f>IF(LEN('JSM Eingabe+TW'!$Y56)&gt;0,'JSM Eingabe+TW'!$Y56,"")</f>
        <v/>
      </c>
    </row>
    <row r="334" spans="1:5" x14ac:dyDescent="0.2">
      <c r="A334" s="212">
        <v>26</v>
      </c>
      <c r="B334" s="212">
        <v>11</v>
      </c>
      <c r="C334" s="840">
        <f>DATE('JSM Eingabe+TW'!$AB$7,$B334,$A334)</f>
        <v>331</v>
      </c>
      <c r="D334" s="212" t="str">
        <f>IF(LEN('JSM Eingabe+TW'!$X57)&gt;0,'JSM Eingabe+TW'!$X57,"")</f>
        <v/>
      </c>
      <c r="E334" s="841" t="str">
        <f>IF(LEN('JSM Eingabe+TW'!$Y57)&gt;0,'JSM Eingabe+TW'!$Y57,"")</f>
        <v/>
      </c>
    </row>
    <row r="335" spans="1:5" x14ac:dyDescent="0.2">
      <c r="A335" s="212">
        <v>27</v>
      </c>
      <c r="B335" s="212">
        <v>11</v>
      </c>
      <c r="C335" s="840">
        <f>DATE('JSM Eingabe+TW'!$AB$7,$B335,$A335)</f>
        <v>332</v>
      </c>
      <c r="D335" s="212" t="str">
        <f>IF(LEN('JSM Eingabe+TW'!$X58)&gt;0,'JSM Eingabe+TW'!$X58,"")</f>
        <v/>
      </c>
      <c r="E335" s="841" t="str">
        <f>IF(LEN('JSM Eingabe+TW'!$Y58)&gt;0,'JSM Eingabe+TW'!$Y58,"")</f>
        <v/>
      </c>
    </row>
    <row r="336" spans="1:5" x14ac:dyDescent="0.2">
      <c r="A336" s="212">
        <v>28</v>
      </c>
      <c r="B336" s="212">
        <v>11</v>
      </c>
      <c r="C336" s="840">
        <f>DATE('JSM Eingabe+TW'!$AB$7,$B336,$A336)</f>
        <v>333</v>
      </c>
      <c r="D336" s="212" t="str">
        <f>IF(LEN('JSM Eingabe+TW'!$X59)&gt;0,'JSM Eingabe+TW'!$X59,"")</f>
        <v/>
      </c>
      <c r="E336" s="841" t="str">
        <f>IF(LEN('JSM Eingabe+TW'!$Y59)&gt;0,'JSM Eingabe+TW'!$Y59,"")</f>
        <v/>
      </c>
    </row>
    <row r="337" spans="1:5" x14ac:dyDescent="0.2">
      <c r="A337" s="212">
        <v>29</v>
      </c>
      <c r="B337" s="212">
        <v>11</v>
      </c>
      <c r="C337" s="840">
        <f>DATE('JSM Eingabe+TW'!$AB$7,$B337,$A337)</f>
        <v>334</v>
      </c>
      <c r="D337" s="212" t="str">
        <f>IF(LEN('JSM Eingabe+TW'!$X60)&gt;0,'JSM Eingabe+TW'!$X60,"")</f>
        <v/>
      </c>
      <c r="E337" s="841" t="str">
        <f>IF(LEN('JSM Eingabe+TW'!$Y60)&gt;0,'JSM Eingabe+TW'!$Y60,"")</f>
        <v/>
      </c>
    </row>
    <row r="338" spans="1:5" x14ac:dyDescent="0.2">
      <c r="A338" s="212">
        <v>30</v>
      </c>
      <c r="B338" s="212">
        <v>11</v>
      </c>
      <c r="C338" s="840">
        <f>DATE('JSM Eingabe+TW'!$AB$7,$B338,$A338)</f>
        <v>335</v>
      </c>
      <c r="D338" s="212" t="str">
        <f>IF(LEN('JSM Eingabe+TW'!$X61)&gt;0,'JSM Eingabe+TW'!$X61,"")</f>
        <v/>
      </c>
      <c r="E338" s="841" t="str">
        <f>IF(LEN('JSM Eingabe+TW'!$Y61)&gt;0,'JSM Eingabe+TW'!$Y61,"")</f>
        <v/>
      </c>
    </row>
    <row r="339" spans="1:5" x14ac:dyDescent="0.2">
      <c r="A339" s="212">
        <v>1</v>
      </c>
      <c r="B339" s="212">
        <v>12</v>
      </c>
      <c r="C339" s="840">
        <f>DATE('JSM Eingabe+TW'!$AB$7,$B339,$A339)</f>
        <v>336</v>
      </c>
      <c r="D339" s="212" t="str">
        <f>IF(LEN('JSM Eingabe+TW'!$Z32)&gt;0,'JSM Eingabe+TW'!$Z32,"")</f>
        <v/>
      </c>
      <c r="E339" s="841" t="str">
        <f>IF(LEN('JSM Eingabe+TW'!$AA32)&gt;0,'JSM Eingabe+TW'!$AA32,"")</f>
        <v/>
      </c>
    </row>
    <row r="340" spans="1:5" x14ac:dyDescent="0.2">
      <c r="A340" s="212">
        <v>2</v>
      </c>
      <c r="B340" s="212">
        <v>12</v>
      </c>
      <c r="C340" s="840">
        <f>DATE('JSM Eingabe+TW'!$AB$7,$B340,$A340)</f>
        <v>337</v>
      </c>
      <c r="D340" s="212" t="str">
        <f>IF(LEN('JSM Eingabe+TW'!$Z33)&gt;0,'JSM Eingabe+TW'!$Z33,"")</f>
        <v/>
      </c>
      <c r="E340" s="841" t="str">
        <f>IF(LEN('JSM Eingabe+TW'!$AA33)&gt;0,'JSM Eingabe+TW'!$AA33,"")</f>
        <v/>
      </c>
    </row>
    <row r="341" spans="1:5" x14ac:dyDescent="0.2">
      <c r="A341" s="212">
        <v>3</v>
      </c>
      <c r="B341" s="212">
        <v>12</v>
      </c>
      <c r="C341" s="840">
        <f>DATE('JSM Eingabe+TW'!$AB$7,$B341,$A341)</f>
        <v>338</v>
      </c>
      <c r="D341" s="212" t="str">
        <f>IF(LEN('JSM Eingabe+TW'!$Z34)&gt;0,'JSM Eingabe+TW'!$Z34,"")</f>
        <v/>
      </c>
      <c r="E341" s="841" t="str">
        <f>IF(LEN('JSM Eingabe+TW'!$AA34)&gt;0,'JSM Eingabe+TW'!$AA34,"")</f>
        <v/>
      </c>
    </row>
    <row r="342" spans="1:5" x14ac:dyDescent="0.2">
      <c r="A342" s="212">
        <v>4</v>
      </c>
      <c r="B342" s="212">
        <v>12</v>
      </c>
      <c r="C342" s="840">
        <f>DATE('JSM Eingabe+TW'!$AB$7,$B342,$A342)</f>
        <v>339</v>
      </c>
      <c r="D342" s="212" t="str">
        <f>IF(LEN('JSM Eingabe+TW'!$Z35)&gt;0,'JSM Eingabe+TW'!$Z35,"")</f>
        <v/>
      </c>
      <c r="E342" s="841" t="str">
        <f>IF(LEN('JSM Eingabe+TW'!$AA35)&gt;0,'JSM Eingabe+TW'!$AA35,"")</f>
        <v/>
      </c>
    </row>
    <row r="343" spans="1:5" x14ac:dyDescent="0.2">
      <c r="A343" s="212">
        <v>5</v>
      </c>
      <c r="B343" s="212">
        <v>12</v>
      </c>
      <c r="C343" s="840">
        <f>DATE('JSM Eingabe+TW'!$AB$7,$B343,$A343)</f>
        <v>340</v>
      </c>
      <c r="D343" s="212" t="str">
        <f>IF(LEN('JSM Eingabe+TW'!$Z36)&gt;0,'JSM Eingabe+TW'!$Z36,"")</f>
        <v/>
      </c>
      <c r="E343" s="841" t="str">
        <f>IF(LEN('JSM Eingabe+TW'!$AA36)&gt;0,'JSM Eingabe+TW'!$AA36,"")</f>
        <v/>
      </c>
    </row>
    <row r="344" spans="1:5" x14ac:dyDescent="0.2">
      <c r="A344" s="212">
        <v>6</v>
      </c>
      <c r="B344" s="212">
        <v>12</v>
      </c>
      <c r="C344" s="840">
        <f>DATE('JSM Eingabe+TW'!$AB$7,$B344,$A344)</f>
        <v>341</v>
      </c>
      <c r="D344" s="212" t="str">
        <f>IF(LEN('JSM Eingabe+TW'!$Z37)&gt;0,'JSM Eingabe+TW'!$Z37,"")</f>
        <v/>
      </c>
      <c r="E344" s="841" t="str">
        <f>IF(LEN('JSM Eingabe+TW'!$AA37)&gt;0,'JSM Eingabe+TW'!$AA37,"")</f>
        <v/>
      </c>
    </row>
    <row r="345" spans="1:5" x14ac:dyDescent="0.2">
      <c r="A345" s="212">
        <v>7</v>
      </c>
      <c r="B345" s="212">
        <v>12</v>
      </c>
      <c r="C345" s="840">
        <f>DATE('JSM Eingabe+TW'!$AB$7,$B345,$A345)</f>
        <v>342</v>
      </c>
      <c r="D345" s="212" t="str">
        <f>IF(LEN('JSM Eingabe+TW'!$Z38)&gt;0,'JSM Eingabe+TW'!$Z38,"")</f>
        <v/>
      </c>
      <c r="E345" s="841" t="str">
        <f>IF(LEN('JSM Eingabe+TW'!$AA38)&gt;0,'JSM Eingabe+TW'!$AA38,"")</f>
        <v/>
      </c>
    </row>
    <row r="346" spans="1:5" x14ac:dyDescent="0.2">
      <c r="A346" s="212">
        <v>8</v>
      </c>
      <c r="B346" s="212">
        <v>12</v>
      </c>
      <c r="C346" s="840">
        <f>DATE('JSM Eingabe+TW'!$AB$7,$B346,$A346)</f>
        <v>343</v>
      </c>
      <c r="D346" s="212" t="str">
        <f>IF(LEN('JSM Eingabe+TW'!$Z39)&gt;0,'JSM Eingabe+TW'!$Z39,"")</f>
        <v/>
      </c>
      <c r="E346" s="841" t="str">
        <f>IF(LEN('JSM Eingabe+TW'!$AA39)&gt;0,'JSM Eingabe+TW'!$AA39,"")</f>
        <v/>
      </c>
    </row>
    <row r="347" spans="1:5" x14ac:dyDescent="0.2">
      <c r="A347" s="212">
        <v>9</v>
      </c>
      <c r="B347" s="212">
        <v>12</v>
      </c>
      <c r="C347" s="840">
        <f>DATE('JSM Eingabe+TW'!$AB$7,$B347,$A347)</f>
        <v>344</v>
      </c>
      <c r="D347" s="212" t="str">
        <f>IF(LEN('JSM Eingabe+TW'!$Z40)&gt;0,'JSM Eingabe+TW'!$Z40,"")</f>
        <v/>
      </c>
      <c r="E347" s="841" t="str">
        <f>IF(LEN('JSM Eingabe+TW'!$AA40)&gt;0,'JSM Eingabe+TW'!$AA40,"")</f>
        <v/>
      </c>
    </row>
    <row r="348" spans="1:5" x14ac:dyDescent="0.2">
      <c r="A348" s="212">
        <v>10</v>
      </c>
      <c r="B348" s="212">
        <v>12</v>
      </c>
      <c r="C348" s="840">
        <f>DATE('JSM Eingabe+TW'!$AB$7,$B348,$A348)</f>
        <v>345</v>
      </c>
      <c r="D348" s="212" t="str">
        <f>IF(LEN('JSM Eingabe+TW'!$Z41)&gt;0,'JSM Eingabe+TW'!$Z41,"")</f>
        <v/>
      </c>
      <c r="E348" s="841" t="str">
        <f>IF(LEN('JSM Eingabe+TW'!$AA41)&gt;0,'JSM Eingabe+TW'!$AA41,"")</f>
        <v/>
      </c>
    </row>
    <row r="349" spans="1:5" x14ac:dyDescent="0.2">
      <c r="A349" s="212">
        <v>11</v>
      </c>
      <c r="B349" s="212">
        <v>12</v>
      </c>
      <c r="C349" s="840">
        <f>DATE('JSM Eingabe+TW'!$AB$7,$B349,$A349)</f>
        <v>346</v>
      </c>
      <c r="D349" s="212" t="str">
        <f>IF(LEN('JSM Eingabe+TW'!$Z42)&gt;0,'JSM Eingabe+TW'!$Z42,"")</f>
        <v/>
      </c>
      <c r="E349" s="841" t="str">
        <f>IF(LEN('JSM Eingabe+TW'!$AA42)&gt;0,'JSM Eingabe+TW'!$AA42,"")</f>
        <v/>
      </c>
    </row>
    <row r="350" spans="1:5" x14ac:dyDescent="0.2">
      <c r="A350" s="212">
        <v>12</v>
      </c>
      <c r="B350" s="212">
        <v>12</v>
      </c>
      <c r="C350" s="840">
        <f>DATE('JSM Eingabe+TW'!$AB$7,$B350,$A350)</f>
        <v>347</v>
      </c>
      <c r="D350" s="212" t="str">
        <f>IF(LEN('JSM Eingabe+TW'!$Z43)&gt;0,'JSM Eingabe+TW'!$Z43,"")</f>
        <v/>
      </c>
      <c r="E350" s="841" t="str">
        <f>IF(LEN('JSM Eingabe+TW'!$AA43)&gt;0,'JSM Eingabe+TW'!$AA43,"")</f>
        <v/>
      </c>
    </row>
    <row r="351" spans="1:5" x14ac:dyDescent="0.2">
      <c r="A351" s="212">
        <v>13</v>
      </c>
      <c r="B351" s="212">
        <v>12</v>
      </c>
      <c r="C351" s="840">
        <f>DATE('JSM Eingabe+TW'!$AB$7,$B351,$A351)</f>
        <v>348</v>
      </c>
      <c r="D351" s="212" t="str">
        <f>IF(LEN('JSM Eingabe+TW'!$Z44)&gt;0,'JSM Eingabe+TW'!$Z44,"")</f>
        <v/>
      </c>
      <c r="E351" s="841" t="str">
        <f>IF(LEN('JSM Eingabe+TW'!$AA44)&gt;0,'JSM Eingabe+TW'!$AA44,"")</f>
        <v/>
      </c>
    </row>
    <row r="352" spans="1:5" x14ac:dyDescent="0.2">
      <c r="A352" s="212">
        <v>14</v>
      </c>
      <c r="B352" s="212">
        <v>12</v>
      </c>
      <c r="C352" s="840">
        <f>DATE('JSM Eingabe+TW'!$AB$7,$B352,$A352)</f>
        <v>349</v>
      </c>
      <c r="D352" s="212" t="str">
        <f>IF(LEN('JSM Eingabe+TW'!$Z45)&gt;0,'JSM Eingabe+TW'!$Z45,"")</f>
        <v/>
      </c>
      <c r="E352" s="841" t="str">
        <f>IF(LEN('JSM Eingabe+TW'!$AA45)&gt;0,'JSM Eingabe+TW'!$AA45,"")</f>
        <v/>
      </c>
    </row>
    <row r="353" spans="1:5" x14ac:dyDescent="0.2">
      <c r="A353" s="212">
        <v>15</v>
      </c>
      <c r="B353" s="212">
        <v>12</v>
      </c>
      <c r="C353" s="840">
        <f>DATE('JSM Eingabe+TW'!$AB$7,$B353,$A353)</f>
        <v>350</v>
      </c>
      <c r="D353" s="212" t="str">
        <f>IF(LEN('JSM Eingabe+TW'!$Z46)&gt;0,'JSM Eingabe+TW'!$Z46,"")</f>
        <v/>
      </c>
      <c r="E353" s="841" t="str">
        <f>IF(LEN('JSM Eingabe+TW'!$AA46)&gt;0,'JSM Eingabe+TW'!$AA46,"")</f>
        <v/>
      </c>
    </row>
    <row r="354" spans="1:5" x14ac:dyDescent="0.2">
      <c r="A354" s="212">
        <v>16</v>
      </c>
      <c r="B354" s="212">
        <v>12</v>
      </c>
      <c r="C354" s="840">
        <f>DATE('JSM Eingabe+TW'!$AB$7,$B354,$A354)</f>
        <v>351</v>
      </c>
      <c r="D354" s="212" t="str">
        <f>IF(LEN('JSM Eingabe+TW'!$Z47)&gt;0,'JSM Eingabe+TW'!$Z47,"")</f>
        <v/>
      </c>
      <c r="E354" s="841" t="str">
        <f>IF(LEN('JSM Eingabe+TW'!$AA47)&gt;0,'JSM Eingabe+TW'!$AA47,"")</f>
        <v/>
      </c>
    </row>
    <row r="355" spans="1:5" x14ac:dyDescent="0.2">
      <c r="A355" s="212">
        <v>17</v>
      </c>
      <c r="B355" s="212">
        <v>12</v>
      </c>
      <c r="C355" s="840">
        <f>DATE('JSM Eingabe+TW'!$AB$7,$B355,$A355)</f>
        <v>352</v>
      </c>
      <c r="D355" s="212" t="str">
        <f>IF(LEN('JSM Eingabe+TW'!$Z48)&gt;0,'JSM Eingabe+TW'!$Z48,"")</f>
        <v/>
      </c>
      <c r="E355" s="841" t="str">
        <f>IF(LEN('JSM Eingabe+TW'!$AA48)&gt;0,'JSM Eingabe+TW'!$AA48,"")</f>
        <v/>
      </c>
    </row>
    <row r="356" spans="1:5" x14ac:dyDescent="0.2">
      <c r="A356" s="212">
        <v>18</v>
      </c>
      <c r="B356" s="212">
        <v>12</v>
      </c>
      <c r="C356" s="840">
        <f>DATE('JSM Eingabe+TW'!$AB$7,$B356,$A356)</f>
        <v>353</v>
      </c>
      <c r="D356" s="212" t="str">
        <f>IF(LEN('JSM Eingabe+TW'!$Z49)&gt;0,'JSM Eingabe+TW'!$Z49,"")</f>
        <v/>
      </c>
      <c r="E356" s="841" t="str">
        <f>IF(LEN('JSM Eingabe+TW'!$AA49)&gt;0,'JSM Eingabe+TW'!$AA49,"")</f>
        <v/>
      </c>
    </row>
    <row r="357" spans="1:5" x14ac:dyDescent="0.2">
      <c r="A357" s="212">
        <v>19</v>
      </c>
      <c r="B357" s="212">
        <v>12</v>
      </c>
      <c r="C357" s="840">
        <f>DATE('JSM Eingabe+TW'!$AB$7,$B357,$A357)</f>
        <v>354</v>
      </c>
      <c r="D357" s="212" t="str">
        <f>IF(LEN('JSM Eingabe+TW'!$Z50)&gt;0,'JSM Eingabe+TW'!$Z50,"")</f>
        <v/>
      </c>
      <c r="E357" s="841" t="str">
        <f>IF(LEN('JSM Eingabe+TW'!$AA50)&gt;0,'JSM Eingabe+TW'!$AA50,"")</f>
        <v/>
      </c>
    </row>
    <row r="358" spans="1:5" x14ac:dyDescent="0.2">
      <c r="A358" s="212">
        <v>20</v>
      </c>
      <c r="B358" s="212">
        <v>12</v>
      </c>
      <c r="C358" s="840">
        <f>DATE('JSM Eingabe+TW'!$AB$7,$B358,$A358)</f>
        <v>355</v>
      </c>
      <c r="D358" s="212" t="str">
        <f>IF(LEN('JSM Eingabe+TW'!$Z51)&gt;0,'JSM Eingabe+TW'!$Z51,"")</f>
        <v/>
      </c>
      <c r="E358" s="841" t="str">
        <f>IF(LEN('JSM Eingabe+TW'!$AA51)&gt;0,'JSM Eingabe+TW'!$AA51,"")</f>
        <v/>
      </c>
    </row>
    <row r="359" spans="1:5" x14ac:dyDescent="0.2">
      <c r="A359" s="212">
        <v>21</v>
      </c>
      <c r="B359" s="212">
        <v>12</v>
      </c>
      <c r="C359" s="840">
        <f>DATE('JSM Eingabe+TW'!$AB$7,$B359,$A359)</f>
        <v>356</v>
      </c>
      <c r="D359" s="212" t="str">
        <f>IF(LEN('JSM Eingabe+TW'!$Z52)&gt;0,'JSM Eingabe+TW'!$Z52,"")</f>
        <v/>
      </c>
      <c r="E359" s="841" t="str">
        <f>IF(LEN('JSM Eingabe+TW'!$AA52)&gt;0,'JSM Eingabe+TW'!$AA52,"")</f>
        <v/>
      </c>
    </row>
    <row r="360" spans="1:5" x14ac:dyDescent="0.2">
      <c r="A360" s="212">
        <v>22</v>
      </c>
      <c r="B360" s="212">
        <v>12</v>
      </c>
      <c r="C360" s="840">
        <f>DATE('JSM Eingabe+TW'!$AB$7,$B360,$A360)</f>
        <v>357</v>
      </c>
      <c r="D360" s="212" t="str">
        <f>IF(LEN('JSM Eingabe+TW'!$Z53)&gt;0,'JSM Eingabe+TW'!$Z53,"")</f>
        <v/>
      </c>
      <c r="E360" s="841" t="str">
        <f>IF(LEN('JSM Eingabe+TW'!$AA53)&gt;0,'JSM Eingabe+TW'!$AA53,"")</f>
        <v/>
      </c>
    </row>
    <row r="361" spans="1:5" x14ac:dyDescent="0.2">
      <c r="A361" s="212">
        <v>23</v>
      </c>
      <c r="B361" s="212">
        <v>12</v>
      </c>
      <c r="C361" s="840">
        <f>DATE('JSM Eingabe+TW'!$AB$7,$B361,$A361)</f>
        <v>358</v>
      </c>
      <c r="D361" s="212" t="str">
        <f>IF(LEN('JSM Eingabe+TW'!$Z54)&gt;0,'JSM Eingabe+TW'!$Z54,"")</f>
        <v/>
      </c>
      <c r="E361" s="841" t="str">
        <f>IF(LEN('JSM Eingabe+TW'!$AA54)&gt;0,'JSM Eingabe+TW'!$AA54,"")</f>
        <v/>
      </c>
    </row>
    <row r="362" spans="1:5" x14ac:dyDescent="0.2">
      <c r="A362" s="212">
        <v>24</v>
      </c>
      <c r="B362" s="212">
        <v>12</v>
      </c>
      <c r="C362" s="840">
        <f>DATE('JSM Eingabe+TW'!$AB$7,$B362,$A362)</f>
        <v>359</v>
      </c>
      <c r="D362" s="212" t="str">
        <f>IF(LEN('JSM Eingabe+TW'!$Z55)&gt;0,'JSM Eingabe+TW'!$Z55,"")</f>
        <v/>
      </c>
      <c r="E362" s="841" t="str">
        <f>IF(LEN('JSM Eingabe+TW'!$AA55)&gt;0,'JSM Eingabe+TW'!$AA55,"")</f>
        <v/>
      </c>
    </row>
    <row r="363" spans="1:5" x14ac:dyDescent="0.2">
      <c r="A363" s="212">
        <v>25</v>
      </c>
      <c r="B363" s="212">
        <v>12</v>
      </c>
      <c r="C363" s="840">
        <f>DATE('JSM Eingabe+TW'!$AB$7,$B363,$A363)</f>
        <v>360</v>
      </c>
      <c r="D363" s="212" t="str">
        <f>IF(LEN('JSM Eingabe+TW'!$Z56)&gt;0,'JSM Eingabe+TW'!$Z56,"")</f>
        <v/>
      </c>
      <c r="E363" s="841" t="str">
        <f>IF(LEN('JSM Eingabe+TW'!$AA56)&gt;0,'JSM Eingabe+TW'!$AA56,"")</f>
        <v/>
      </c>
    </row>
    <row r="364" spans="1:5" x14ac:dyDescent="0.2">
      <c r="A364" s="212">
        <v>26</v>
      </c>
      <c r="B364" s="212">
        <v>12</v>
      </c>
      <c r="C364" s="840">
        <f>DATE('JSM Eingabe+TW'!$AB$7,$B364,$A364)</f>
        <v>361</v>
      </c>
      <c r="D364" s="212" t="str">
        <f>IF(LEN('JSM Eingabe+TW'!$Z57)&gt;0,'JSM Eingabe+TW'!$Z57,"")</f>
        <v/>
      </c>
      <c r="E364" s="841" t="str">
        <f>IF(LEN('JSM Eingabe+TW'!$AA57)&gt;0,'JSM Eingabe+TW'!$AA57,"")</f>
        <v/>
      </c>
    </row>
    <row r="365" spans="1:5" x14ac:dyDescent="0.2">
      <c r="A365" s="212">
        <v>27</v>
      </c>
      <c r="B365" s="212">
        <v>12</v>
      </c>
      <c r="C365" s="840">
        <f>DATE('JSM Eingabe+TW'!$AB$7,$B365,$A365)</f>
        <v>362</v>
      </c>
      <c r="D365" s="212" t="str">
        <f>IF(LEN('JSM Eingabe+TW'!$Z58)&gt;0,'JSM Eingabe+TW'!$Z58,"")</f>
        <v/>
      </c>
      <c r="E365" s="841" t="str">
        <f>IF(LEN('JSM Eingabe+TW'!$AA58)&gt;0,'JSM Eingabe+TW'!$AA58,"")</f>
        <v/>
      </c>
    </row>
    <row r="366" spans="1:5" x14ac:dyDescent="0.2">
      <c r="A366" s="212">
        <v>28</v>
      </c>
      <c r="B366" s="212">
        <v>12</v>
      </c>
      <c r="C366" s="840">
        <f>DATE('JSM Eingabe+TW'!$AB$7,$B366,$A366)</f>
        <v>363</v>
      </c>
      <c r="D366" s="212" t="str">
        <f>IF(LEN('JSM Eingabe+TW'!$Z59)&gt;0,'JSM Eingabe+TW'!$Z59,"")</f>
        <v/>
      </c>
      <c r="E366" s="841" t="str">
        <f>IF(LEN('JSM Eingabe+TW'!$AA59)&gt;0,'JSM Eingabe+TW'!$AA59,"")</f>
        <v/>
      </c>
    </row>
    <row r="367" spans="1:5" x14ac:dyDescent="0.2">
      <c r="A367" s="212">
        <v>29</v>
      </c>
      <c r="B367" s="212">
        <v>12</v>
      </c>
      <c r="C367" s="840">
        <f>DATE('JSM Eingabe+TW'!$AB$7,$B367,$A367)</f>
        <v>364</v>
      </c>
      <c r="D367" s="212" t="str">
        <f>IF(LEN('JSM Eingabe+TW'!$Z60)&gt;0,'JSM Eingabe+TW'!$Z60,"")</f>
        <v/>
      </c>
      <c r="E367" s="841" t="str">
        <f>IF(LEN('JSM Eingabe+TW'!$AA60)&gt;0,'JSM Eingabe+TW'!$AA60,"")</f>
        <v/>
      </c>
    </row>
    <row r="368" spans="1:5" x14ac:dyDescent="0.2">
      <c r="A368" s="212">
        <v>30</v>
      </c>
      <c r="B368" s="212">
        <v>12</v>
      </c>
      <c r="C368" s="840">
        <f>DATE('JSM Eingabe+TW'!$AB$7,$B368,$A368)</f>
        <v>365</v>
      </c>
      <c r="D368" s="212" t="str">
        <f>IF(LEN('JSM Eingabe+TW'!$Z61)&gt;0,'JSM Eingabe+TW'!$Z61,"")</f>
        <v/>
      </c>
      <c r="E368" s="841" t="str">
        <f>IF(LEN('JSM Eingabe+TW'!$AA61)&gt;0,'JSM Eingabe+TW'!$AA61,"")</f>
        <v/>
      </c>
    </row>
    <row r="369" spans="1:5" x14ac:dyDescent="0.2">
      <c r="A369" s="212">
        <v>31</v>
      </c>
      <c r="B369" s="212">
        <v>12</v>
      </c>
      <c r="C369" s="840">
        <f>DATE('JSM Eingabe+TW'!$AB$7,$B369,$A369)</f>
        <v>366</v>
      </c>
      <c r="D369" s="212" t="str">
        <f>IF(LEN('JSM Eingabe+TW'!$Z62)&gt;0,'JSM Eingabe+TW'!$Z62,"")</f>
        <v/>
      </c>
      <c r="E369" s="841" t="str">
        <f>IF(LEN('JSM Eingabe+TW'!$AA62)&gt;0,'JSM Eingabe+TW'!$AA62,"")</f>
        <v/>
      </c>
    </row>
  </sheetData>
  <sheetProtection algorithmName="SHA-512" hashValue="tVkb73EOntdO9lA3Ntjw6PLXzOjw6sh6NMu95jJbN5b8UTAXuYAS2/SS6klUQTbKcaBF2c1mQG0GlF5xISNN4w==" saltValue="7SBwnQlX8y6v9CHdvMZKmg==" spinCount="100000" sheet="1" objects="1" scenarios="1"/>
  <mergeCells count="1">
    <mergeCell ref="E1:J1"/>
  </mergeCells>
  <printOptions horizontalCentered="1"/>
  <pageMargins left="1.1023622047244095" right="0.31496062992125984" top="0.78740157480314965" bottom="0.78740157480314965" header="0.31496062992125984" footer="0.31496062992125984"/>
  <pageSetup paperSize="9" scale="75" orientation="portrait" r:id="rId1"/>
  <headerFooter>
    <oddHeader>&amp;C&amp;A</oddHeader>
    <oddFooter>&amp;L&amp;D &amp;T&amp;R&amp;P von &amp;N</oddFooter>
  </headerFooter>
  <ignoredErrors>
    <ignoredError sqref="C63"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IN121"/>
  <sheetViews>
    <sheetView showGridLines="0" topLeftCell="A10" zoomScale="70" zoomScaleNormal="70" workbookViewId="0">
      <selection activeCell="E46" sqref="E46"/>
    </sheetView>
  </sheetViews>
  <sheetFormatPr baseColWidth="10" defaultRowHeight="12.75" x14ac:dyDescent="0.2"/>
  <cols>
    <col min="1" max="1" width="2.5703125" style="212" customWidth="1"/>
    <col min="2" max="2" width="22" style="212" customWidth="1"/>
    <col min="3" max="3" width="1.5703125" style="210" customWidth="1"/>
    <col min="4" max="4" width="4.28515625" style="210" customWidth="1"/>
    <col min="5" max="5" width="16.28515625" style="210" customWidth="1"/>
    <col min="6" max="6" width="4.28515625" style="210" customWidth="1"/>
    <col min="7" max="7" width="16.28515625" style="210" customWidth="1"/>
    <col min="8" max="8" width="4.28515625" style="210" customWidth="1"/>
    <col min="9" max="9" width="15.7109375" style="210" customWidth="1"/>
    <col min="10" max="10" width="4.28515625" style="210" customWidth="1"/>
    <col min="11" max="11" width="16.7109375" style="210" customWidth="1"/>
    <col min="12" max="12" width="4.7109375" style="210" customWidth="1"/>
    <col min="13" max="13" width="16.28515625" style="210" customWidth="1"/>
    <col min="14" max="14" width="4.28515625" style="210" customWidth="1"/>
    <col min="15" max="15" width="16.5703125" style="210" customWidth="1"/>
    <col min="16" max="16" width="4.28515625" style="210" customWidth="1"/>
    <col min="17" max="17" width="16.5703125" style="210" customWidth="1"/>
    <col min="18" max="18" width="4.28515625" style="210" customWidth="1"/>
    <col min="19" max="19" width="17.140625" style="210" customWidth="1"/>
    <col min="20" max="20" width="4.28515625" style="210" customWidth="1"/>
    <col min="21" max="21" width="16.140625" style="210" customWidth="1"/>
    <col min="22" max="22" width="4.28515625" style="210" customWidth="1"/>
    <col min="23" max="23" width="17.5703125" style="210" customWidth="1"/>
    <col min="24" max="24" width="4.5703125" style="210" customWidth="1"/>
    <col min="25" max="25" width="17.140625" style="210" customWidth="1"/>
    <col min="26" max="26" width="4.7109375" style="210" customWidth="1"/>
    <col min="27" max="27" width="17.85546875" style="210" customWidth="1"/>
    <col min="28" max="28" width="23.85546875" style="210" customWidth="1"/>
    <col min="29" max="29" width="4" style="396" customWidth="1"/>
    <col min="30" max="30" width="4.28515625" style="396" customWidth="1"/>
    <col min="31" max="31" width="62.7109375" style="411" customWidth="1"/>
    <col min="32" max="43" width="12.28515625" style="411" customWidth="1"/>
    <col min="44" max="47" width="4.28515625" style="411" customWidth="1"/>
    <col min="48" max="48" width="8.5703125" style="411" customWidth="1"/>
    <col min="49" max="49" width="4.28515625" style="411" customWidth="1"/>
    <col min="50" max="50" width="9.85546875" style="411" customWidth="1"/>
    <col min="51" max="51" width="4.28515625" style="411" customWidth="1"/>
    <col min="52" max="52" width="8.7109375" style="411" customWidth="1"/>
    <col min="53" max="53" width="4.28515625" style="411" customWidth="1"/>
    <col min="54" max="54" width="9.42578125" style="411" customWidth="1"/>
    <col min="55" max="55" width="4.28515625" style="411" customWidth="1"/>
    <col min="56" max="56" width="9" style="411" customWidth="1"/>
    <col min="57" max="57" width="4.28515625" style="411" customWidth="1"/>
    <col min="58" max="58" width="8.7109375" style="411" customWidth="1"/>
    <col min="59" max="59" width="4.28515625" style="411" customWidth="1"/>
    <col min="60" max="60" width="8.5703125" style="411" customWidth="1"/>
    <col min="61" max="61" width="4.28515625" style="411" customWidth="1"/>
    <col min="62" max="62" width="8.28515625" style="411" customWidth="1"/>
    <col min="63" max="63" width="4.28515625" style="411" customWidth="1"/>
    <col min="64" max="64" width="8.7109375" style="411" customWidth="1"/>
    <col min="65" max="65" width="4.28515625" style="411" customWidth="1"/>
    <col min="66" max="66" width="9" style="411" customWidth="1"/>
    <col min="67" max="67" width="4.28515625" style="411" customWidth="1"/>
    <col min="68" max="68" width="9.42578125" style="411" customWidth="1"/>
    <col min="69" max="69" width="4.28515625" style="411" customWidth="1"/>
    <col min="70" max="70" width="8.7109375" style="411" customWidth="1"/>
    <col min="71" max="71" width="1.7109375" style="411" customWidth="1"/>
    <col min="72" max="72" width="9.140625" style="411" customWidth="1"/>
    <col min="73" max="73" width="2.7109375" style="411" customWidth="1"/>
    <col min="74" max="74" width="3.28515625" style="411" customWidth="1"/>
    <col min="75" max="75" width="15.140625" style="412" customWidth="1"/>
    <col min="76" max="76" width="3.28515625" style="412" customWidth="1"/>
    <col min="77" max="77" width="14.42578125" style="412" customWidth="1"/>
    <col min="78" max="78" width="3" style="412" customWidth="1"/>
    <col min="79" max="79" width="15.28515625" style="412" customWidth="1"/>
    <col min="80" max="80" width="3" style="412" customWidth="1"/>
    <col min="81" max="81" width="13.85546875" style="412" customWidth="1"/>
    <col min="82" max="82" width="2.85546875" style="412" customWidth="1"/>
    <col min="83" max="83" width="15.42578125" style="412" customWidth="1"/>
    <col min="84" max="84" width="3" style="412" customWidth="1"/>
    <col min="85" max="85" width="14.140625" style="412" customWidth="1"/>
    <col min="86" max="86" width="3" style="412" customWidth="1"/>
    <col min="87" max="87" width="15" style="412" customWidth="1"/>
    <col min="88" max="88" width="3" style="412" customWidth="1"/>
    <col min="89" max="89" width="14" style="412" customWidth="1"/>
    <col min="90" max="90" width="3.140625" style="412" customWidth="1"/>
    <col min="91" max="91" width="13.7109375" style="412" customWidth="1"/>
    <col min="92" max="92" width="3" style="412" customWidth="1"/>
    <col min="93" max="93" width="13.7109375" style="412" customWidth="1"/>
    <col min="94" max="94" width="3" style="412" customWidth="1"/>
    <col min="95" max="95" width="14.42578125" style="412" customWidth="1"/>
    <col min="96" max="96" width="3.140625" style="412" customWidth="1"/>
    <col min="97" max="97" width="14.28515625" style="412" customWidth="1"/>
    <col min="98" max="98" width="2.85546875" style="412" customWidth="1"/>
    <col min="99" max="99" width="16.42578125" style="411" bestFit="1" customWidth="1"/>
    <col min="100" max="100" width="6.85546875" style="411" customWidth="1"/>
    <col min="101" max="112" width="11.42578125" style="413"/>
    <col min="113" max="113" width="15.42578125" style="413" customWidth="1"/>
    <col min="114" max="125" width="11.28515625" style="411" customWidth="1"/>
    <col min="126" max="127" width="11.42578125" style="413"/>
    <col min="128" max="139" width="5.5703125" style="413" customWidth="1"/>
    <col min="140" max="140" width="15.42578125" style="413" customWidth="1"/>
    <col min="141" max="141" width="7.7109375" style="411" customWidth="1"/>
    <col min="142" max="142" width="14.5703125" style="411" customWidth="1"/>
    <col min="143" max="143" width="5.140625" style="411" customWidth="1"/>
    <col min="144" max="144" width="13.28515625" style="411" customWidth="1"/>
    <col min="145" max="145" width="5.140625" style="411" customWidth="1"/>
    <col min="146" max="146" width="14.85546875" style="411" customWidth="1"/>
    <col min="147" max="147" width="5.140625" style="411" customWidth="1"/>
    <col min="148" max="148" width="15" style="411" customWidth="1"/>
    <col min="149" max="149" width="5.140625" style="411" customWidth="1"/>
    <col min="150" max="150" width="13.5703125" style="411" customWidth="1"/>
    <col min="151" max="151" width="5.140625" style="411" customWidth="1"/>
    <col min="152" max="152" width="12.85546875" style="411" customWidth="1"/>
    <col min="153" max="153" width="5.140625" style="411" customWidth="1"/>
    <col min="154" max="154" width="13.42578125" style="411" customWidth="1"/>
    <col min="155" max="155" width="5.140625" style="411" customWidth="1"/>
    <col min="156" max="156" width="14.140625" style="411" customWidth="1"/>
    <col min="157" max="157" width="5.140625" style="411" customWidth="1"/>
    <col min="158" max="158" width="14" style="411" customWidth="1"/>
    <col min="159" max="159" width="5.140625" style="411" customWidth="1"/>
    <col min="160" max="160" width="13.7109375" style="411" customWidth="1"/>
    <col min="161" max="161" width="5.140625" style="411" customWidth="1"/>
    <col min="162" max="162" width="13.42578125" style="411" customWidth="1"/>
    <col min="163" max="163" width="5.140625" style="414" customWidth="1"/>
    <col min="164" max="164" width="13.5703125" style="414" customWidth="1"/>
    <col min="165" max="165" width="11.42578125" style="415"/>
    <col min="166" max="166" width="16.42578125" style="415" customWidth="1"/>
    <col min="167" max="167" width="11.42578125" style="415"/>
    <col min="168" max="185" width="11.42578125" style="387"/>
    <col min="186" max="248" width="11.42578125" style="211"/>
    <col min="249" max="16384" width="11.42578125" style="212"/>
  </cols>
  <sheetData>
    <row r="1" spans="1:248" x14ac:dyDescent="0.2">
      <c r="A1" s="656" t="s">
        <v>2</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D1" s="330"/>
      <c r="BV1" s="412"/>
      <c r="CT1" s="411"/>
      <c r="CV1" s="413"/>
      <c r="DI1" s="411"/>
      <c r="DU1" s="413"/>
      <c r="EJ1" s="411"/>
      <c r="FH1" s="415"/>
      <c r="IN1" s="212"/>
    </row>
    <row r="2" spans="1:248" ht="26.25" x14ac:dyDescent="0.4">
      <c r="B2" s="762" t="s">
        <v>350</v>
      </c>
      <c r="C2" s="763"/>
      <c r="D2" s="763"/>
      <c r="E2" s="763"/>
      <c r="F2" s="763"/>
      <c r="G2" s="763"/>
      <c r="H2" s="763"/>
      <c r="I2" s="763"/>
      <c r="J2" s="763"/>
      <c r="K2" s="763"/>
      <c r="L2" s="763"/>
      <c r="M2" s="763"/>
      <c r="N2" s="764"/>
      <c r="O2" s="765"/>
      <c r="P2" s="766"/>
      <c r="X2" s="764"/>
      <c r="Y2" s="212"/>
      <c r="AB2" s="749" t="s">
        <v>380</v>
      </c>
      <c r="AD2" s="330"/>
      <c r="BV2" s="412"/>
      <c r="CT2" s="411"/>
      <c r="CV2" s="413"/>
      <c r="DI2" s="411"/>
      <c r="DU2" s="413"/>
      <c r="EJ2" s="411"/>
      <c r="FH2" s="415"/>
      <c r="IN2" s="212"/>
    </row>
    <row r="3" spans="1:248" ht="3.75" customHeight="1" x14ac:dyDescent="0.25">
      <c r="A3" s="767"/>
      <c r="B3" s="763"/>
      <c r="C3" s="763"/>
      <c r="D3" s="763"/>
      <c r="E3" s="763"/>
      <c r="F3" s="763"/>
      <c r="G3" s="763"/>
      <c r="H3" s="763"/>
      <c r="I3" s="763"/>
      <c r="J3" s="763"/>
      <c r="K3" s="763"/>
      <c r="L3" s="763"/>
      <c r="M3" s="763"/>
      <c r="N3" s="764"/>
      <c r="O3" s="765"/>
      <c r="P3" s="766"/>
      <c r="X3" s="764"/>
      <c r="Y3" s="765"/>
      <c r="Z3" s="766"/>
      <c r="AB3" s="768"/>
      <c r="AD3" s="330"/>
      <c r="BV3" s="412"/>
      <c r="CT3" s="411"/>
      <c r="CV3" s="413"/>
      <c r="DI3" s="411"/>
      <c r="DU3" s="413"/>
      <c r="EJ3" s="411"/>
      <c r="FH3" s="415"/>
      <c r="IN3" s="212"/>
    </row>
    <row r="4" spans="1:248" ht="3.75" customHeight="1" x14ac:dyDescent="0.25">
      <c r="A4" s="767"/>
      <c r="B4" s="763"/>
      <c r="C4" s="763"/>
      <c r="D4" s="763"/>
      <c r="E4" s="763"/>
      <c r="F4" s="763"/>
      <c r="G4" s="763"/>
      <c r="H4" s="763"/>
      <c r="I4" s="763"/>
      <c r="J4" s="763"/>
      <c r="K4" s="763"/>
      <c r="L4" s="763"/>
      <c r="M4" s="763"/>
      <c r="N4" s="764"/>
      <c r="O4" s="765"/>
      <c r="P4" s="766"/>
      <c r="X4" s="764"/>
      <c r="Y4" s="765"/>
      <c r="Z4" s="766"/>
      <c r="AB4" s="766"/>
      <c r="AD4" s="330"/>
      <c r="BV4" s="412"/>
      <c r="CT4" s="411"/>
      <c r="CV4" s="413"/>
      <c r="DI4" s="411"/>
      <c r="DU4" s="413"/>
      <c r="EJ4" s="411"/>
      <c r="FH4" s="415"/>
      <c r="IN4" s="212"/>
    </row>
    <row r="5" spans="1:248" s="296" customFormat="1" ht="25.5" customHeight="1" x14ac:dyDescent="0.35">
      <c r="A5" s="212"/>
      <c r="B5" s="769" t="s">
        <v>314</v>
      </c>
      <c r="C5" s="770"/>
      <c r="D5" s="771"/>
      <c r="E5" s="771"/>
      <c r="F5" s="772"/>
      <c r="G5" s="772"/>
      <c r="H5" s="772"/>
      <c r="I5" s="772"/>
      <c r="J5" s="772"/>
      <c r="K5" s="772"/>
      <c r="L5" s="772"/>
      <c r="M5" s="772"/>
      <c r="N5" s="772"/>
      <c r="O5" s="773"/>
      <c r="P5" s="774"/>
      <c r="Q5" s="775"/>
      <c r="R5" s="287"/>
      <c r="S5" s="287"/>
      <c r="T5" s="287"/>
      <c r="U5" s="287"/>
      <c r="V5" s="287"/>
      <c r="W5" s="287"/>
      <c r="X5" s="772"/>
      <c r="Y5" s="773"/>
      <c r="Z5" s="774"/>
      <c r="AA5" s="774"/>
      <c r="AB5" s="776" t="s">
        <v>161</v>
      </c>
      <c r="AC5" s="397"/>
      <c r="AD5" s="331"/>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6"/>
      <c r="BI5" s="416"/>
      <c r="BJ5" s="416"/>
      <c r="BK5" s="416"/>
      <c r="BL5" s="416"/>
      <c r="BM5" s="416"/>
      <c r="BN5" s="416"/>
      <c r="BO5" s="416"/>
      <c r="BP5" s="416"/>
      <c r="BQ5" s="416"/>
      <c r="BR5" s="416"/>
      <c r="BS5" s="416"/>
      <c r="BT5" s="416"/>
      <c r="BU5" s="416"/>
      <c r="BV5" s="417"/>
      <c r="BW5" s="417"/>
      <c r="BX5" s="417"/>
      <c r="BY5" s="417"/>
      <c r="BZ5" s="417"/>
      <c r="CA5" s="417"/>
      <c r="CB5" s="417"/>
      <c r="CC5" s="417"/>
      <c r="CD5" s="417"/>
      <c r="CE5" s="417"/>
      <c r="CF5" s="417"/>
      <c r="CG5" s="417"/>
      <c r="CH5" s="417"/>
      <c r="CI5" s="417"/>
      <c r="CJ5" s="417"/>
      <c r="CK5" s="417"/>
      <c r="CL5" s="417"/>
      <c r="CM5" s="417"/>
      <c r="CN5" s="417"/>
      <c r="CO5" s="417"/>
      <c r="CP5" s="417"/>
      <c r="CQ5" s="417"/>
      <c r="CR5" s="417"/>
      <c r="CS5" s="417"/>
      <c r="CT5" s="416"/>
      <c r="CU5" s="416"/>
      <c r="CV5" s="418"/>
      <c r="CW5" s="418"/>
      <c r="CX5" s="418"/>
      <c r="CY5" s="418"/>
      <c r="CZ5" s="418"/>
      <c r="DA5" s="418"/>
      <c r="DB5" s="418"/>
      <c r="DC5" s="418"/>
      <c r="DD5" s="418"/>
      <c r="DE5" s="418"/>
      <c r="DF5" s="418"/>
      <c r="DG5" s="418"/>
      <c r="DH5" s="418"/>
      <c r="DI5" s="416"/>
      <c r="DJ5" s="416"/>
      <c r="DK5" s="416"/>
      <c r="DL5" s="416"/>
      <c r="DM5" s="416"/>
      <c r="DN5" s="416"/>
      <c r="DO5" s="416"/>
      <c r="DP5" s="416"/>
      <c r="DQ5" s="416"/>
      <c r="DR5" s="416"/>
      <c r="DS5" s="416"/>
      <c r="DT5" s="416"/>
      <c r="DU5" s="418"/>
      <c r="DV5" s="418"/>
      <c r="DW5" s="418"/>
      <c r="DX5" s="418"/>
      <c r="DY5" s="418"/>
      <c r="DZ5" s="418"/>
      <c r="EA5" s="418"/>
      <c r="EB5" s="418"/>
      <c r="EC5" s="418"/>
      <c r="ED5" s="418"/>
      <c r="EE5" s="418"/>
      <c r="EF5" s="418"/>
      <c r="EG5" s="418"/>
      <c r="EH5" s="418"/>
      <c r="EI5" s="418"/>
      <c r="EJ5" s="416"/>
      <c r="EK5" s="416"/>
      <c r="EL5" s="416"/>
      <c r="EM5" s="416"/>
      <c r="EN5" s="416"/>
      <c r="EO5" s="416"/>
      <c r="EP5" s="416"/>
      <c r="EQ5" s="416"/>
      <c r="ER5" s="416"/>
      <c r="ES5" s="416"/>
      <c r="ET5" s="416"/>
      <c r="EU5" s="416"/>
      <c r="EV5" s="416"/>
      <c r="EW5" s="416"/>
      <c r="EX5" s="416"/>
      <c r="EY5" s="416"/>
      <c r="EZ5" s="416"/>
      <c r="FA5" s="416"/>
      <c r="FB5" s="416"/>
      <c r="FC5" s="416"/>
      <c r="FD5" s="416"/>
      <c r="FE5" s="416"/>
      <c r="FF5" s="416"/>
      <c r="FG5" s="419"/>
      <c r="FH5" s="420"/>
      <c r="FI5" s="420"/>
      <c r="FJ5" s="420"/>
      <c r="FK5" s="420"/>
      <c r="FL5" s="388"/>
      <c r="FM5" s="388"/>
      <c r="FN5" s="388"/>
      <c r="FO5" s="388"/>
      <c r="FP5" s="388"/>
      <c r="FQ5" s="388"/>
      <c r="FR5" s="388"/>
      <c r="FS5" s="388"/>
      <c r="FT5" s="388"/>
      <c r="FU5" s="388"/>
      <c r="FV5" s="388"/>
      <c r="FW5" s="388"/>
      <c r="FX5" s="388"/>
      <c r="FY5" s="388"/>
      <c r="FZ5" s="388"/>
      <c r="GA5" s="388"/>
      <c r="GB5" s="388"/>
      <c r="GC5" s="388"/>
      <c r="GD5" s="300"/>
      <c r="GE5" s="300"/>
      <c r="GF5" s="300"/>
      <c r="GG5" s="300"/>
      <c r="GH5" s="300"/>
      <c r="GI5" s="300"/>
      <c r="GJ5" s="300"/>
      <c r="GK5" s="300"/>
      <c r="GL5" s="300"/>
      <c r="GM5" s="300"/>
      <c r="GN5" s="300"/>
      <c r="GO5" s="300"/>
      <c r="GP5" s="300"/>
      <c r="GQ5" s="300"/>
      <c r="GR5" s="300"/>
      <c r="GS5" s="300"/>
      <c r="GT5" s="300"/>
      <c r="GU5" s="300"/>
      <c r="GV5" s="300"/>
      <c r="GW5" s="300"/>
      <c r="GX5" s="300"/>
      <c r="GY5" s="300"/>
      <c r="GZ5" s="300"/>
      <c r="HA5" s="300"/>
      <c r="HB5" s="300"/>
      <c r="HC5" s="300"/>
      <c r="HD5" s="300"/>
      <c r="HE5" s="300"/>
      <c r="HF5" s="300"/>
      <c r="HG5" s="300"/>
      <c r="HH5" s="300"/>
      <c r="HI5" s="300"/>
      <c r="HJ5" s="300"/>
      <c r="HK5" s="300"/>
      <c r="HL5" s="300"/>
      <c r="HM5" s="300"/>
      <c r="HN5" s="300"/>
      <c r="HO5" s="300"/>
      <c r="HP5" s="300"/>
      <c r="HQ5" s="300"/>
      <c r="HR5" s="300"/>
      <c r="HS5" s="300"/>
      <c r="HT5" s="300"/>
      <c r="HU5" s="300"/>
      <c r="HV5" s="300"/>
      <c r="HW5" s="300"/>
      <c r="HX5" s="300"/>
      <c r="HY5" s="300"/>
      <c r="HZ5" s="300"/>
      <c r="IA5" s="300"/>
      <c r="IB5" s="300"/>
      <c r="IC5" s="300"/>
      <c r="ID5" s="300"/>
      <c r="IE5" s="300"/>
      <c r="IF5" s="300"/>
      <c r="IG5" s="300"/>
      <c r="IH5" s="300"/>
      <c r="II5" s="300"/>
      <c r="IJ5" s="300"/>
      <c r="IK5" s="300"/>
      <c r="IL5" s="300"/>
      <c r="IM5" s="300"/>
    </row>
    <row r="6" spans="1:248" ht="11.25" customHeight="1" x14ac:dyDescent="0.25">
      <c r="A6" s="777"/>
      <c r="B6" s="778"/>
      <c r="C6" s="779"/>
      <c r="D6" s="780"/>
      <c r="E6" s="780"/>
      <c r="F6" s="764"/>
      <c r="G6" s="764"/>
      <c r="H6" s="764"/>
      <c r="I6" s="764"/>
      <c r="J6" s="764"/>
      <c r="K6" s="764"/>
      <c r="L6" s="764"/>
      <c r="M6" s="764"/>
      <c r="N6" s="212"/>
      <c r="O6" s="212"/>
      <c r="P6" s="212"/>
      <c r="Q6" s="212"/>
      <c r="R6" s="212"/>
      <c r="S6" s="212"/>
      <c r="T6" s="212"/>
      <c r="AD6" s="330"/>
      <c r="BV6" s="412"/>
      <c r="CT6" s="411"/>
      <c r="CV6" s="413"/>
      <c r="DI6" s="411"/>
      <c r="DU6" s="413"/>
      <c r="EJ6" s="411"/>
      <c r="FH6" s="415"/>
      <c r="IN6" s="212"/>
    </row>
    <row r="7" spans="1:248" ht="27" customHeight="1" x14ac:dyDescent="0.35">
      <c r="A7" s="296"/>
      <c r="B7" s="781" t="s">
        <v>228</v>
      </c>
      <c r="C7" s="782"/>
      <c r="D7" s="844" t="s">
        <v>385</v>
      </c>
      <c r="E7" s="844"/>
      <c r="F7" s="844"/>
      <c r="G7" s="844"/>
      <c r="H7" s="844"/>
      <c r="I7" s="844"/>
      <c r="J7" s="783"/>
      <c r="K7" s="784"/>
      <c r="L7" s="336" t="s">
        <v>243</v>
      </c>
      <c r="M7" s="845"/>
      <c r="N7" s="845"/>
      <c r="O7" s="845"/>
      <c r="P7" s="845"/>
      <c r="Q7" s="845"/>
      <c r="R7" s="845"/>
      <c r="S7" s="783"/>
      <c r="T7" s="296"/>
      <c r="U7" s="298"/>
      <c r="V7" s="298"/>
      <c r="W7" s="299"/>
      <c r="X7" s="298"/>
      <c r="Y7" s="296"/>
      <c r="Z7" s="298"/>
      <c r="AA7" s="785" t="s">
        <v>227</v>
      </c>
      <c r="AB7" s="641"/>
      <c r="AD7" s="330"/>
      <c r="AE7" s="620"/>
      <c r="BV7" s="412"/>
      <c r="CT7" s="411"/>
      <c r="CV7" s="413"/>
      <c r="DI7" s="411"/>
      <c r="DU7" s="413"/>
      <c r="EJ7" s="411"/>
      <c r="FH7" s="415"/>
      <c r="IN7" s="212"/>
    </row>
    <row r="8" spans="1:248" ht="13.5" customHeight="1" thickBot="1" x14ac:dyDescent="0.25">
      <c r="A8" s="786"/>
      <c r="B8" s="787"/>
      <c r="C8" s="764"/>
      <c r="D8" s="788"/>
      <c r="E8" s="788"/>
      <c r="F8" s="788"/>
      <c r="G8" s="788"/>
      <c r="H8" s="788"/>
      <c r="I8" s="788"/>
      <c r="J8" s="788"/>
      <c r="K8" s="764"/>
      <c r="L8" s="764"/>
      <c r="M8" s="788"/>
      <c r="N8" s="788"/>
      <c r="O8" s="788"/>
      <c r="P8" s="788"/>
      <c r="Q8" s="788"/>
      <c r="R8" s="788"/>
      <c r="S8" s="788"/>
      <c r="T8" s="219"/>
    </row>
    <row r="9" spans="1:248" ht="27" customHeight="1" thickBot="1" x14ac:dyDescent="0.3">
      <c r="B9" s="789" t="s">
        <v>229</v>
      </c>
      <c r="C9" s="790"/>
      <c r="D9" s="790"/>
      <c r="E9" s="790"/>
      <c r="F9" s="791"/>
      <c r="G9" s="790"/>
      <c r="H9" s="790"/>
      <c r="I9" s="790"/>
      <c r="J9" s="790"/>
      <c r="K9" s="790"/>
      <c r="L9" s="790"/>
      <c r="M9" s="790"/>
      <c r="N9" s="790"/>
      <c r="O9" s="790"/>
      <c r="P9" s="790"/>
      <c r="Q9" s="790"/>
      <c r="R9" s="790"/>
      <c r="S9" s="790"/>
      <c r="T9" s="790"/>
      <c r="U9" s="790"/>
      <c r="V9" s="790"/>
      <c r="W9" s="790"/>
      <c r="X9" s="790"/>
      <c r="Y9" s="790"/>
      <c r="Z9" s="790"/>
      <c r="AA9" s="790"/>
      <c r="AB9" s="792"/>
    </row>
    <row r="10" spans="1:248" ht="6" customHeight="1" x14ac:dyDescent="0.2">
      <c r="C10" s="375"/>
      <c r="D10" s="375"/>
      <c r="E10" s="375"/>
      <c r="F10" s="212"/>
      <c r="G10" s="212"/>
      <c r="H10" s="212"/>
      <c r="I10" s="212"/>
      <c r="J10" s="212"/>
      <c r="CT10" s="421"/>
      <c r="CU10" s="412"/>
      <c r="CV10" s="412"/>
    </row>
    <row r="11" spans="1:248" ht="6.75" customHeight="1" x14ac:dyDescent="0.2">
      <c r="B11" s="374"/>
      <c r="C11" s="374"/>
      <c r="D11" s="374"/>
      <c r="E11" s="374"/>
      <c r="F11" s="212"/>
      <c r="G11" s="212"/>
      <c r="H11" s="212"/>
      <c r="AB11" s="215"/>
      <c r="CT11" s="421"/>
      <c r="CU11" s="412"/>
      <c r="CV11" s="412"/>
    </row>
    <row r="12" spans="1:248" ht="19.5" customHeight="1" x14ac:dyDescent="0.2">
      <c r="B12" s="846" t="s">
        <v>207</v>
      </c>
      <c r="D12" s="847" t="s">
        <v>282</v>
      </c>
      <c r="E12" s="847"/>
      <c r="F12" s="758"/>
      <c r="J12" s="749" t="s">
        <v>275</v>
      </c>
      <c r="K12" s="799"/>
      <c r="L12" s="748" t="s">
        <v>34</v>
      </c>
      <c r="M12" s="404"/>
      <c r="N12" s="404"/>
      <c r="R12" s="749" t="s">
        <v>276</v>
      </c>
      <c r="S12" s="802"/>
      <c r="T12" s="748" t="s">
        <v>83</v>
      </c>
      <c r="U12" s="215"/>
      <c r="V12" s="215"/>
      <c r="Z12" s="797" t="s">
        <v>264</v>
      </c>
      <c r="AA12" s="753"/>
      <c r="AB12" s="748"/>
      <c r="AC12" s="398"/>
      <c r="CT12" s="421"/>
      <c r="CU12" s="412"/>
      <c r="CV12" s="412"/>
    </row>
    <row r="13" spans="1:248" ht="19.5" customHeight="1" x14ac:dyDescent="0.2">
      <c r="B13" s="846"/>
      <c r="D13" s="847"/>
      <c r="E13" s="847"/>
      <c r="F13" s="758"/>
      <c r="J13" s="217"/>
      <c r="K13" s="793"/>
      <c r="L13" s="256"/>
      <c r="R13" s="749" t="s">
        <v>277</v>
      </c>
      <c r="S13" s="802"/>
      <c r="T13" s="748" t="s">
        <v>58</v>
      </c>
      <c r="U13" s="215"/>
      <c r="V13" s="215"/>
      <c r="Z13" s="797" t="s">
        <v>262</v>
      </c>
      <c r="AA13" s="754"/>
      <c r="AB13" s="798"/>
      <c r="AC13" s="398"/>
      <c r="CT13" s="421"/>
      <c r="CU13" s="412"/>
      <c r="CV13" s="412"/>
    </row>
    <row r="14" spans="1:248" ht="19.5" customHeight="1" x14ac:dyDescent="0.2">
      <c r="B14" s="846"/>
      <c r="D14" s="847"/>
      <c r="E14" s="847"/>
      <c r="F14" s="758"/>
      <c r="J14" s="217"/>
      <c r="K14" s="793"/>
      <c r="L14" s="256"/>
      <c r="R14" s="749" t="s">
        <v>344</v>
      </c>
      <c r="S14" s="802"/>
      <c r="T14" s="748" t="s">
        <v>83</v>
      </c>
      <c r="U14" s="215"/>
      <c r="V14" s="215"/>
      <c r="Z14" s="797" t="s">
        <v>348</v>
      </c>
      <c r="AA14" s="754"/>
      <c r="AB14" s="798"/>
      <c r="AC14" s="398"/>
      <c r="CT14" s="421"/>
      <c r="CU14" s="412"/>
      <c r="CV14" s="412"/>
    </row>
    <row r="15" spans="1:248" ht="19.5" customHeight="1" x14ac:dyDescent="0.2">
      <c r="B15" s="846"/>
      <c r="D15" s="847"/>
      <c r="E15" s="847"/>
      <c r="F15" s="758"/>
      <c r="J15" s="217"/>
      <c r="K15" s="670"/>
      <c r="L15" s="256"/>
      <c r="R15" s="749" t="s">
        <v>278</v>
      </c>
      <c r="S15" s="802"/>
      <c r="T15" s="748" t="s">
        <v>83</v>
      </c>
      <c r="U15" s="215"/>
      <c r="V15" s="215"/>
      <c r="Z15" s="797" t="s">
        <v>267</v>
      </c>
      <c r="AA15" s="755"/>
      <c r="AB15" s="798"/>
      <c r="AC15" s="398"/>
      <c r="CT15" s="421"/>
      <c r="CU15" s="412"/>
      <c r="CV15" s="412"/>
    </row>
    <row r="16" spans="1:248" ht="19.5" customHeight="1" x14ac:dyDescent="0.2">
      <c r="C16" s="758"/>
      <c r="D16" s="758"/>
      <c r="E16" s="212"/>
      <c r="F16" s="212"/>
      <c r="H16" s="212"/>
      <c r="J16" s="749" t="s">
        <v>354</v>
      </c>
      <c r="K16" s="804" t="str">
        <f>IF($K$12&lt;&gt;"",ROUND((($K$12/2)*80)/1000,0),"")</f>
        <v/>
      </c>
      <c r="L16" s="748" t="s">
        <v>213</v>
      </c>
      <c r="R16" s="749" t="s">
        <v>279</v>
      </c>
      <c r="S16" s="802"/>
      <c r="T16" s="748" t="s">
        <v>58</v>
      </c>
      <c r="U16" s="215"/>
      <c r="V16" s="215"/>
      <c r="Z16" s="797" t="s">
        <v>351</v>
      </c>
      <c r="AA16" s="754"/>
      <c r="AB16" s="748" t="s">
        <v>269</v>
      </c>
      <c r="AC16" s="399"/>
      <c r="AD16" s="40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c r="BP16" s="422"/>
      <c r="BQ16" s="422"/>
      <c r="BR16" s="422"/>
      <c r="BS16" s="422"/>
      <c r="BT16" s="422"/>
      <c r="BU16" s="422"/>
      <c r="CU16" s="423"/>
      <c r="CV16" s="423"/>
    </row>
    <row r="17" spans="2:222" ht="19.5" customHeight="1" x14ac:dyDescent="0.25">
      <c r="B17" s="758"/>
      <c r="F17" s="680"/>
      <c r="J17" s="749" t="s">
        <v>352</v>
      </c>
      <c r="K17" s="800"/>
      <c r="L17" s="748" t="s">
        <v>213</v>
      </c>
      <c r="R17" s="749" t="s">
        <v>280</v>
      </c>
      <c r="S17" s="803">
        <f>SUM(S12+S15)</f>
        <v>0</v>
      </c>
      <c r="T17" s="748" t="s">
        <v>83</v>
      </c>
      <c r="U17" s="215"/>
      <c r="V17" s="215"/>
      <c r="Z17" s="797" t="s">
        <v>268</v>
      </c>
      <c r="AA17" s="756"/>
      <c r="AB17" s="748" t="s">
        <v>265</v>
      </c>
      <c r="AC17" s="399"/>
      <c r="AD17" s="402"/>
      <c r="AE17" s="422"/>
      <c r="AF17" s="422"/>
      <c r="AG17" s="422"/>
      <c r="AH17" s="422"/>
      <c r="AI17" s="422"/>
      <c r="AJ17" s="422"/>
      <c r="AK17" s="422"/>
      <c r="AL17" s="422"/>
      <c r="AM17" s="422"/>
      <c r="AN17" s="422"/>
      <c r="AO17" s="422"/>
      <c r="AP17" s="422"/>
      <c r="AQ17" s="422"/>
      <c r="AR17" s="422"/>
      <c r="AS17" s="422"/>
      <c r="AT17" s="422"/>
      <c r="AU17" s="422"/>
      <c r="AV17" s="422"/>
      <c r="AW17" s="422"/>
      <c r="AX17" s="422"/>
      <c r="AY17" s="422"/>
      <c r="AZ17" s="422"/>
      <c r="BA17" s="422"/>
      <c r="BB17" s="422"/>
      <c r="BC17" s="422"/>
      <c r="BD17" s="422"/>
      <c r="BE17" s="422"/>
      <c r="BF17" s="422"/>
      <c r="BG17" s="422"/>
      <c r="BH17" s="422"/>
      <c r="BI17" s="422"/>
      <c r="BJ17" s="422"/>
      <c r="BK17" s="422"/>
      <c r="BL17" s="422"/>
      <c r="BM17" s="422"/>
      <c r="BN17" s="422"/>
      <c r="BO17" s="422"/>
      <c r="BP17" s="422"/>
      <c r="BQ17" s="422"/>
      <c r="BR17" s="422"/>
      <c r="BS17" s="422"/>
      <c r="BT17" s="422"/>
      <c r="BU17" s="422"/>
      <c r="CU17" s="423"/>
      <c r="CV17" s="423"/>
    </row>
    <row r="18" spans="2:222" ht="19.5" customHeight="1" x14ac:dyDescent="0.25">
      <c r="B18" s="850" t="s">
        <v>346</v>
      </c>
      <c r="C18" s="850"/>
      <c r="D18" s="850"/>
      <c r="E18" s="851"/>
      <c r="F18" s="372"/>
      <c r="I18" s="234"/>
      <c r="J18" s="749" t="s">
        <v>353</v>
      </c>
      <c r="K18" s="801"/>
      <c r="L18" s="748" t="s">
        <v>149</v>
      </c>
      <c r="R18" s="749" t="s">
        <v>281</v>
      </c>
      <c r="S18" s="803">
        <f>IF(S13=0,S12-S14+S15*(100-S16)/100,S12*(100-S13)/100+S15*(100-S16)/100)</f>
        <v>0</v>
      </c>
      <c r="T18" s="748" t="s">
        <v>83</v>
      </c>
      <c r="U18" s="215"/>
      <c r="V18" s="215"/>
      <c r="Z18" s="797" t="s">
        <v>263</v>
      </c>
      <c r="AA18" s="796"/>
      <c r="AB18" s="748" t="s">
        <v>266</v>
      </c>
      <c r="AC18" s="400"/>
      <c r="AD18" s="403"/>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DX18" s="425">
        <f>SUMIF(DX32:EI62,8,DX32:EI62)/8</f>
        <v>365</v>
      </c>
      <c r="DY18" s="413" t="s">
        <v>119</v>
      </c>
    </row>
    <row r="19" spans="2:222" ht="6" customHeight="1" x14ac:dyDescent="0.6">
      <c r="C19" s="212"/>
      <c r="D19" s="212"/>
      <c r="U19" s="215"/>
      <c r="V19" s="215"/>
      <c r="W19" s="215"/>
      <c r="X19" s="215"/>
      <c r="Y19" s="217"/>
      <c r="Z19" s="214"/>
      <c r="AA19" s="252"/>
      <c r="AB19" s="214"/>
      <c r="AC19" s="401"/>
      <c r="AD19" s="403"/>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DX19" s="425"/>
    </row>
    <row r="20" spans="2:222" ht="3" customHeight="1" x14ac:dyDescent="0.25">
      <c r="C20" s="212"/>
      <c r="D20" s="212"/>
      <c r="E20" s="212"/>
      <c r="S20" s="218"/>
      <c r="T20" s="222"/>
      <c r="AC20" s="402"/>
      <c r="AD20" s="402"/>
      <c r="AE20" s="422"/>
      <c r="AF20" s="422"/>
      <c r="AG20" s="422"/>
      <c r="AH20" s="422"/>
      <c r="AI20" s="422"/>
      <c r="AJ20" s="422"/>
      <c r="AK20" s="422"/>
      <c r="AL20" s="422"/>
      <c r="AM20" s="422"/>
      <c r="AN20" s="422"/>
      <c r="AO20" s="422"/>
      <c r="AP20" s="422"/>
      <c r="AQ20" s="422"/>
      <c r="AR20" s="422"/>
      <c r="AS20" s="422"/>
      <c r="AT20" s="422"/>
      <c r="AU20" s="422"/>
      <c r="AV20" s="422"/>
      <c r="AW20" s="422"/>
      <c r="AX20" s="422"/>
      <c r="AY20" s="422"/>
      <c r="AZ20" s="422"/>
      <c r="BA20" s="422"/>
      <c r="BB20" s="422"/>
      <c r="BC20" s="422"/>
      <c r="BD20" s="422"/>
      <c r="BE20" s="422"/>
      <c r="BF20" s="422"/>
      <c r="BG20" s="422"/>
      <c r="BH20" s="422"/>
      <c r="BI20" s="422"/>
      <c r="BJ20" s="422"/>
      <c r="BK20" s="422"/>
      <c r="BL20" s="422"/>
      <c r="BM20" s="422"/>
      <c r="BN20" s="422"/>
      <c r="BO20" s="422"/>
      <c r="BP20" s="422"/>
      <c r="BQ20" s="422"/>
      <c r="BR20" s="422"/>
      <c r="BS20" s="422"/>
      <c r="BT20" s="422"/>
      <c r="BU20" s="422"/>
    </row>
    <row r="21" spans="2:222" ht="3.75" customHeight="1" x14ac:dyDescent="0.2">
      <c r="C21" s="212"/>
      <c r="S21" s="212"/>
      <c r="T21" s="212"/>
      <c r="U21" s="212"/>
      <c r="V21" s="212"/>
      <c r="W21" s="212"/>
      <c r="X21" s="212"/>
      <c r="Y21" s="212"/>
      <c r="Z21" s="212"/>
      <c r="AC21" s="402"/>
      <c r="AD21" s="402"/>
      <c r="AE21" s="422"/>
      <c r="AF21" s="422"/>
      <c r="AG21" s="422"/>
      <c r="AH21" s="422"/>
      <c r="AI21" s="422"/>
      <c r="AJ21" s="422"/>
      <c r="AK21" s="422"/>
      <c r="AL21" s="422"/>
      <c r="AM21" s="422"/>
      <c r="AN21" s="422"/>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2"/>
      <c r="BU21" s="422"/>
    </row>
    <row r="22" spans="2:222" ht="6.75" customHeight="1" x14ac:dyDescent="0.2">
      <c r="B22" s="377"/>
      <c r="C22" s="212"/>
      <c r="G22" s="219"/>
      <c r="H22" s="219"/>
      <c r="M22" s="212"/>
      <c r="P22" s="220"/>
      <c r="Q22" s="220"/>
      <c r="R22" s="220"/>
      <c r="AD22" s="40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422"/>
      <c r="BE22" s="422"/>
      <c r="BF22" s="422"/>
      <c r="BG22" s="422"/>
      <c r="BH22" s="422"/>
      <c r="BI22" s="422"/>
      <c r="BJ22" s="422"/>
      <c r="BK22" s="422"/>
      <c r="BL22" s="422"/>
      <c r="BM22" s="422"/>
      <c r="BN22" s="422"/>
      <c r="BO22" s="422"/>
      <c r="BP22" s="422"/>
      <c r="BQ22" s="422"/>
      <c r="BR22" s="422"/>
      <c r="BS22" s="422"/>
      <c r="BT22" s="422"/>
      <c r="BU22" s="422"/>
    </row>
    <row r="23" spans="2:222" ht="20.25" customHeight="1" x14ac:dyDescent="0.2">
      <c r="C23" s="212"/>
      <c r="D23" s="369" t="s">
        <v>230</v>
      </c>
      <c r="E23" s="371" t="s">
        <v>125</v>
      </c>
      <c r="F23" s="372"/>
      <c r="J23" s="750"/>
      <c r="K23" s="761" t="s">
        <v>349</v>
      </c>
      <c r="L23" s="751"/>
      <c r="M23" s="751"/>
      <c r="N23" s="751"/>
      <c r="O23" s="751"/>
      <c r="P23" s="751"/>
      <c r="Q23" s="751"/>
      <c r="R23" s="751"/>
      <c r="S23" s="751"/>
      <c r="T23" s="751"/>
      <c r="U23" s="751"/>
      <c r="V23" s="751"/>
      <c r="W23" s="751"/>
      <c r="X23" s="751"/>
      <c r="Y23" s="751"/>
      <c r="Z23" s="751"/>
      <c r="AA23" s="752" t="s">
        <v>379</v>
      </c>
      <c r="AE23" s="422"/>
      <c r="AF23" s="422"/>
      <c r="AG23" s="422"/>
      <c r="AH23" s="422"/>
      <c r="AI23" s="422"/>
      <c r="AJ23" s="422"/>
      <c r="AK23" s="422"/>
      <c r="AL23" s="422"/>
      <c r="AM23" s="422"/>
      <c r="AN23" s="422"/>
      <c r="AO23" s="422"/>
      <c r="AP23" s="422"/>
      <c r="AQ23" s="422"/>
      <c r="AR23" s="422"/>
      <c r="AS23" s="422"/>
      <c r="AT23" s="422"/>
      <c r="AU23" s="422"/>
      <c r="AV23" s="422"/>
      <c r="AW23" s="422"/>
      <c r="AX23" s="422"/>
      <c r="AY23" s="422"/>
      <c r="AZ23" s="422"/>
      <c r="BA23" s="422"/>
      <c r="BB23" s="422"/>
      <c r="BC23" s="422"/>
      <c r="BD23" s="422"/>
      <c r="BE23" s="422"/>
      <c r="BF23" s="422"/>
      <c r="BG23" s="422"/>
      <c r="BH23" s="422"/>
      <c r="BI23" s="422"/>
      <c r="BJ23" s="422"/>
      <c r="BK23" s="422"/>
      <c r="BL23" s="422"/>
      <c r="BM23" s="422"/>
      <c r="BN23" s="422"/>
      <c r="BO23" s="422"/>
      <c r="BP23" s="422"/>
      <c r="BQ23" s="422"/>
      <c r="BR23" s="422"/>
      <c r="BS23" s="422"/>
      <c r="BT23" s="422"/>
      <c r="BU23" s="422"/>
      <c r="EK23" s="411" t="s">
        <v>33</v>
      </c>
      <c r="EL23" s="411" t="s">
        <v>127</v>
      </c>
      <c r="EM23" s="411" t="s">
        <v>128</v>
      </c>
      <c r="EN23" s="411" t="s">
        <v>129</v>
      </c>
      <c r="ET23" s="411" t="s">
        <v>130</v>
      </c>
      <c r="EV23" s="426">
        <f>AVERAGE(EL32:EL62,EN32:EN62,EP32:EP62,ER32:ER62,ET32:ET62,EV32:EV62,EX32:EX62,EZ32:EZ62,FB32:FB62,FD32:FD62,FF32:FF62,FH32:FH62,0.000001)</f>
        <v>9.9999999999999995E-7</v>
      </c>
    </row>
    <row r="24" spans="2:222" ht="20.25" customHeight="1" x14ac:dyDescent="0.2">
      <c r="C24" s="212"/>
      <c r="E24" s="639" t="s">
        <v>301</v>
      </c>
      <c r="F24" s="372" t="s">
        <v>3</v>
      </c>
      <c r="K24" s="391"/>
      <c r="AA24" s="268" t="s">
        <v>108</v>
      </c>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c r="BF24" s="422"/>
      <c r="BG24" s="422"/>
      <c r="BH24" s="422"/>
      <c r="BI24" s="422"/>
      <c r="BJ24" s="422"/>
      <c r="BK24" s="422"/>
      <c r="BL24" s="422"/>
      <c r="BM24" s="422"/>
      <c r="BN24" s="422"/>
      <c r="BO24" s="422"/>
      <c r="BP24" s="422"/>
      <c r="BQ24" s="422"/>
      <c r="BR24" s="422"/>
      <c r="BS24" s="422"/>
      <c r="BT24" s="422"/>
      <c r="BU24" s="422"/>
      <c r="EV24" s="426"/>
    </row>
    <row r="25" spans="2:222" ht="20.25" customHeight="1" x14ac:dyDescent="0.3">
      <c r="C25" s="212"/>
      <c r="E25" s="371" t="s">
        <v>302</v>
      </c>
      <c r="F25" s="372"/>
      <c r="AA25" s="615" t="s">
        <v>304</v>
      </c>
      <c r="AG25" s="413"/>
      <c r="AH25" s="413"/>
      <c r="AI25" s="413"/>
      <c r="AJ25" s="413"/>
      <c r="AK25" s="413"/>
      <c r="AL25" s="413"/>
      <c r="AM25" s="413"/>
      <c r="AN25" s="413"/>
      <c r="AO25" s="413"/>
      <c r="AP25" s="413"/>
      <c r="AQ25" s="413"/>
      <c r="AR25" s="422"/>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422"/>
      <c r="BR25" s="422"/>
      <c r="BS25" s="422"/>
      <c r="BT25" s="422"/>
      <c r="BU25" s="422"/>
      <c r="EK25" s="427" t="s">
        <v>126</v>
      </c>
    </row>
    <row r="26" spans="2:222" x14ac:dyDescent="0.2">
      <c r="C26" s="213"/>
      <c r="D26" s="370"/>
      <c r="E26" s="219"/>
      <c r="F26" s="219"/>
      <c r="G26" s="219"/>
      <c r="H26" s="219"/>
      <c r="I26" s="219"/>
      <c r="AD26" s="402"/>
      <c r="AF26" s="425" t="s">
        <v>122</v>
      </c>
      <c r="AG26" s="413"/>
      <c r="AH26" s="413"/>
      <c r="AI26" s="428"/>
      <c r="AJ26" s="413"/>
      <c r="AK26" s="413"/>
      <c r="AL26" s="413"/>
      <c r="AM26" s="413"/>
      <c r="AN26" s="413"/>
      <c r="AO26" s="413"/>
      <c r="AP26" s="413"/>
      <c r="AQ26" s="413"/>
      <c r="AR26" s="422"/>
      <c r="AS26" s="422"/>
      <c r="AT26" s="422"/>
      <c r="AU26" s="429" t="s">
        <v>121</v>
      </c>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422"/>
      <c r="BR26" s="422"/>
      <c r="BS26" s="422"/>
      <c r="BT26" s="422"/>
      <c r="BU26" s="422"/>
      <c r="BV26" s="430" t="s">
        <v>113</v>
      </c>
      <c r="CI26" s="431" t="s">
        <v>136</v>
      </c>
      <c r="CW26" s="425" t="s">
        <v>106</v>
      </c>
      <c r="CZ26" s="428" t="s">
        <v>112</v>
      </c>
      <c r="DJ26" s="429" t="s">
        <v>105</v>
      </c>
      <c r="DM26" s="428" t="s">
        <v>112</v>
      </c>
      <c r="DX26" s="413" t="s">
        <v>118</v>
      </c>
    </row>
    <row r="27" spans="2:222" ht="6.75" customHeight="1" x14ac:dyDescent="0.25">
      <c r="C27" s="213"/>
      <c r="D27" s="213"/>
      <c r="F27" s="213"/>
      <c r="G27" s="213"/>
      <c r="H27" s="213"/>
      <c r="I27" s="213"/>
      <c r="J27" s="213"/>
      <c r="K27" s="213"/>
      <c r="L27" s="213"/>
      <c r="O27" s="224"/>
      <c r="AD27" s="402"/>
      <c r="AF27" s="413"/>
      <c r="AG27" s="413"/>
      <c r="AH27" s="413"/>
      <c r="AI27" s="413"/>
      <c r="AJ27" s="413"/>
      <c r="AK27" s="413"/>
      <c r="AL27" s="413"/>
      <c r="AM27" s="413"/>
      <c r="AN27" s="413"/>
      <c r="AO27" s="413"/>
      <c r="AP27" s="413"/>
      <c r="AQ27" s="413"/>
      <c r="AR27" s="422"/>
      <c r="AS27" s="422"/>
      <c r="AT27" s="422"/>
      <c r="AU27" s="422"/>
      <c r="AV27" s="422"/>
      <c r="AW27" s="422"/>
      <c r="AX27" s="422"/>
      <c r="AY27" s="422"/>
      <c r="AZ27" s="422"/>
      <c r="BA27" s="422"/>
      <c r="BB27" s="422"/>
      <c r="BC27" s="422"/>
      <c r="BD27" s="422"/>
      <c r="BE27" s="422"/>
      <c r="BF27" s="422"/>
      <c r="BG27" s="422"/>
      <c r="BH27" s="422"/>
      <c r="BI27" s="422"/>
      <c r="BJ27" s="422"/>
      <c r="BK27" s="422"/>
      <c r="BL27" s="422"/>
      <c r="BM27" s="422"/>
      <c r="BN27" s="422"/>
      <c r="BO27" s="422"/>
      <c r="BP27" s="422"/>
      <c r="BQ27" s="422"/>
      <c r="BR27" s="422"/>
      <c r="BS27" s="422"/>
      <c r="BT27" s="422"/>
      <c r="BU27" s="422"/>
      <c r="BV27" s="422"/>
      <c r="BW27" s="432"/>
      <c r="BX27" s="432"/>
      <c r="CG27" s="433" t="s">
        <v>3</v>
      </c>
      <c r="CH27" s="434"/>
      <c r="DX27" s="435"/>
      <c r="DY27" s="435"/>
      <c r="DZ27" s="435"/>
      <c r="EA27" s="435"/>
      <c r="EB27" s="435"/>
      <c r="EC27" s="435"/>
      <c r="ED27" s="435"/>
      <c r="EE27" s="435"/>
      <c r="EF27" s="435"/>
      <c r="EG27" s="435"/>
      <c r="EH27" s="435"/>
      <c r="EI27" s="435"/>
    </row>
    <row r="28" spans="2:222" ht="18" x14ac:dyDescent="0.25">
      <c r="B28" s="368" t="s">
        <v>318</v>
      </c>
      <c r="C28" s="213"/>
      <c r="F28" s="213"/>
      <c r="G28" s="213"/>
      <c r="H28" s="213"/>
      <c r="I28" s="213"/>
      <c r="J28" s="213"/>
      <c r="K28" s="213"/>
      <c r="L28" s="213"/>
      <c r="O28" s="224"/>
      <c r="P28" s="226"/>
      <c r="Q28" s="221"/>
      <c r="R28" s="223"/>
      <c r="S28" s="223"/>
      <c r="T28" s="223"/>
      <c r="U28" s="223"/>
      <c r="V28" s="223"/>
      <c r="W28" s="224"/>
      <c r="X28" s="229"/>
      <c r="Z28" s="224"/>
      <c r="AA28" s="225"/>
      <c r="AD28" s="402"/>
      <c r="AF28" s="413"/>
      <c r="AG28" s="413"/>
      <c r="AH28" s="413"/>
      <c r="AI28" s="413"/>
      <c r="AJ28" s="413"/>
      <c r="AK28" s="413"/>
      <c r="AL28" s="413"/>
      <c r="AM28" s="413"/>
      <c r="AN28" s="413"/>
      <c r="AO28" s="413"/>
      <c r="AP28" s="413"/>
      <c r="AQ28" s="413"/>
      <c r="AR28" s="422"/>
      <c r="AS28" s="422"/>
      <c r="AT28" s="422"/>
      <c r="AU28" s="422"/>
      <c r="AV28" s="422"/>
      <c r="AW28" s="422"/>
      <c r="AX28" s="422"/>
      <c r="AY28" s="422"/>
      <c r="AZ28" s="422"/>
      <c r="BA28" s="422"/>
      <c r="BB28" s="422"/>
      <c r="BC28" s="422"/>
      <c r="BD28" s="422"/>
      <c r="BE28" s="422"/>
      <c r="BF28" s="422"/>
      <c r="BG28" s="422"/>
      <c r="BH28" s="422"/>
      <c r="BI28" s="422"/>
      <c r="BJ28" s="422"/>
      <c r="BK28" s="422"/>
      <c r="BL28" s="422"/>
      <c r="BM28" s="422"/>
      <c r="BN28" s="422"/>
      <c r="BO28" s="422"/>
      <c r="BP28" s="422"/>
      <c r="BQ28" s="422"/>
      <c r="BR28" s="422"/>
      <c r="BS28" s="422"/>
      <c r="BT28" s="422"/>
      <c r="BU28" s="422"/>
      <c r="BV28" s="422"/>
      <c r="BW28" s="432"/>
      <c r="BX28" s="432"/>
      <c r="CG28" s="433"/>
      <c r="CH28" s="434"/>
      <c r="DX28" s="435"/>
      <c r="DY28" s="435"/>
      <c r="DZ28" s="435"/>
      <c r="EA28" s="435"/>
      <c r="EB28" s="435"/>
      <c r="EC28" s="435"/>
      <c r="ED28" s="435"/>
      <c r="EE28" s="435"/>
      <c r="EF28" s="435"/>
      <c r="EG28" s="435"/>
      <c r="EH28" s="435"/>
      <c r="EI28" s="435"/>
    </row>
    <row r="29" spans="2:222" x14ac:dyDescent="0.2">
      <c r="C29" s="216"/>
      <c r="D29" s="367"/>
      <c r="E29" s="230" t="s">
        <v>12</v>
      </c>
      <c r="F29" s="216"/>
      <c r="G29" s="230" t="s">
        <v>13</v>
      </c>
      <c r="H29" s="216"/>
      <c r="I29" s="230" t="s">
        <v>14</v>
      </c>
      <c r="J29" s="216"/>
      <c r="K29" s="230" t="s">
        <v>15</v>
      </c>
      <c r="L29" s="216"/>
      <c r="M29" s="230" t="s">
        <v>16</v>
      </c>
      <c r="N29" s="231"/>
      <c r="O29" s="230" t="s">
        <v>17</v>
      </c>
      <c r="P29" s="216"/>
      <c r="Q29" s="230" t="s">
        <v>18</v>
      </c>
      <c r="R29" s="216"/>
      <c r="S29" s="230" t="s">
        <v>19</v>
      </c>
      <c r="T29" s="216"/>
      <c r="U29" s="230" t="s">
        <v>20</v>
      </c>
      <c r="V29" s="216"/>
      <c r="W29" s="230" t="s">
        <v>21</v>
      </c>
      <c r="X29" s="216"/>
      <c r="Y29" s="230" t="s">
        <v>22</v>
      </c>
      <c r="Z29" s="216"/>
      <c r="AA29" s="230" t="s">
        <v>23</v>
      </c>
      <c r="AB29" s="216"/>
      <c r="AC29" s="403"/>
      <c r="AD29" s="403"/>
      <c r="AF29" s="413" t="s">
        <v>65</v>
      </c>
      <c r="AG29" s="413" t="s">
        <v>66</v>
      </c>
      <c r="AH29" s="413" t="s">
        <v>67</v>
      </c>
      <c r="AI29" s="413" t="s">
        <v>68</v>
      </c>
      <c r="AJ29" s="413" t="s">
        <v>16</v>
      </c>
      <c r="AK29" s="413" t="s">
        <v>69</v>
      </c>
      <c r="AL29" s="413" t="s">
        <v>70</v>
      </c>
      <c r="AM29" s="413" t="s">
        <v>71</v>
      </c>
      <c r="AN29" s="413" t="s">
        <v>72</v>
      </c>
      <c r="AO29" s="413" t="s">
        <v>73</v>
      </c>
      <c r="AP29" s="413" t="s">
        <v>74</v>
      </c>
      <c r="AQ29" s="413" t="s">
        <v>75</v>
      </c>
      <c r="AR29" s="424"/>
      <c r="AS29" s="424"/>
      <c r="AT29" s="424"/>
      <c r="AU29" s="424"/>
      <c r="AV29" s="412" t="s">
        <v>12</v>
      </c>
      <c r="AW29" s="424"/>
      <c r="AX29" s="412" t="s">
        <v>13</v>
      </c>
      <c r="AY29" s="424"/>
      <c r="AZ29" s="412" t="s">
        <v>14</v>
      </c>
      <c r="BA29" s="424"/>
      <c r="BB29" s="412" t="s">
        <v>15</v>
      </c>
      <c r="BC29" s="424"/>
      <c r="BD29" s="412" t="s">
        <v>16</v>
      </c>
      <c r="BE29" s="424"/>
      <c r="BF29" s="412" t="s">
        <v>17</v>
      </c>
      <c r="BG29" s="424"/>
      <c r="BH29" s="412" t="s">
        <v>18</v>
      </c>
      <c r="BI29" s="424"/>
      <c r="BJ29" s="412" t="s">
        <v>19</v>
      </c>
      <c r="BK29" s="424"/>
      <c r="BL29" s="412" t="s">
        <v>20</v>
      </c>
      <c r="BM29" s="424"/>
      <c r="BN29" s="412" t="s">
        <v>21</v>
      </c>
      <c r="BO29" s="424"/>
      <c r="BP29" s="412" t="s">
        <v>22</v>
      </c>
      <c r="BQ29" s="424"/>
      <c r="BR29" s="412" t="s">
        <v>23</v>
      </c>
      <c r="BS29" s="424"/>
      <c r="BT29" s="424"/>
      <c r="BU29" s="424"/>
      <c r="BV29" s="424"/>
      <c r="BW29" s="412" t="s">
        <v>12</v>
      </c>
      <c r="BX29" s="424"/>
      <c r="BY29" s="412" t="s">
        <v>13</v>
      </c>
      <c r="BZ29" s="424"/>
      <c r="CA29" s="412" t="s">
        <v>14</v>
      </c>
      <c r="CB29" s="424"/>
      <c r="CC29" s="412" t="s">
        <v>15</v>
      </c>
      <c r="CD29" s="424"/>
      <c r="CE29" s="412" t="s">
        <v>16</v>
      </c>
      <c r="CF29" s="424"/>
      <c r="CG29" s="412" t="s">
        <v>17</v>
      </c>
      <c r="CH29" s="424"/>
      <c r="CI29" s="412" t="s">
        <v>18</v>
      </c>
      <c r="CJ29" s="424"/>
      <c r="CK29" s="412" t="s">
        <v>19</v>
      </c>
      <c r="CL29" s="424"/>
      <c r="CM29" s="412" t="s">
        <v>20</v>
      </c>
      <c r="CN29" s="424"/>
      <c r="CO29" s="412" t="s">
        <v>21</v>
      </c>
      <c r="CP29" s="424"/>
      <c r="CQ29" s="412" t="s">
        <v>22</v>
      </c>
      <c r="CR29" s="424"/>
      <c r="CS29" s="412" t="s">
        <v>23</v>
      </c>
      <c r="CW29" s="413" t="s">
        <v>65</v>
      </c>
      <c r="CX29" s="413" t="s">
        <v>66</v>
      </c>
      <c r="CY29" s="413" t="s">
        <v>67</v>
      </c>
      <c r="CZ29" s="413" t="s">
        <v>68</v>
      </c>
      <c r="DA29" s="413" t="s">
        <v>16</v>
      </c>
      <c r="DB29" s="413" t="s">
        <v>69</v>
      </c>
      <c r="DC29" s="413" t="s">
        <v>70</v>
      </c>
      <c r="DD29" s="413" t="s">
        <v>71</v>
      </c>
      <c r="DE29" s="413" t="s">
        <v>72</v>
      </c>
      <c r="DF29" s="413" t="s">
        <v>73</v>
      </c>
      <c r="DG29" s="413" t="s">
        <v>74</v>
      </c>
      <c r="DH29" s="413" t="s">
        <v>75</v>
      </c>
      <c r="DJ29" s="411" t="s">
        <v>65</v>
      </c>
      <c r="DK29" s="411" t="s">
        <v>66</v>
      </c>
      <c r="DL29" s="411" t="s">
        <v>67</v>
      </c>
      <c r="DM29" s="411" t="s">
        <v>68</v>
      </c>
      <c r="DN29" s="411" t="s">
        <v>16</v>
      </c>
      <c r="DO29" s="411" t="s">
        <v>69</v>
      </c>
      <c r="DP29" s="411" t="s">
        <v>70</v>
      </c>
      <c r="DQ29" s="411" t="s">
        <v>71</v>
      </c>
      <c r="DR29" s="411" t="s">
        <v>72</v>
      </c>
      <c r="DS29" s="411" t="s">
        <v>73</v>
      </c>
      <c r="DT29" s="411" t="s">
        <v>74</v>
      </c>
      <c r="DU29" s="411" t="s">
        <v>75</v>
      </c>
      <c r="DX29" s="435"/>
      <c r="DY29" s="435"/>
      <c r="DZ29" s="435"/>
      <c r="EA29" s="435"/>
      <c r="EB29" s="435"/>
      <c r="EC29" s="435"/>
      <c r="ED29" s="435"/>
      <c r="EE29" s="435"/>
      <c r="EF29" s="435"/>
      <c r="EG29" s="435"/>
      <c r="EH29" s="435"/>
      <c r="EI29" s="435"/>
      <c r="EL29" s="412" t="s">
        <v>12</v>
      </c>
      <c r="EN29" s="412" t="s">
        <v>13</v>
      </c>
      <c r="EP29" s="412" t="s">
        <v>14</v>
      </c>
      <c r="ER29" s="412" t="s">
        <v>15</v>
      </c>
      <c r="ET29" s="412" t="s">
        <v>16</v>
      </c>
      <c r="EV29" s="412" t="s">
        <v>17</v>
      </c>
      <c r="EX29" s="412" t="s">
        <v>18</v>
      </c>
      <c r="EZ29" s="412" t="s">
        <v>19</v>
      </c>
      <c r="FB29" s="412" t="s">
        <v>20</v>
      </c>
      <c r="FD29" s="412" t="s">
        <v>21</v>
      </c>
      <c r="FF29" s="412" t="s">
        <v>22</v>
      </c>
      <c r="FH29" s="436" t="s">
        <v>23</v>
      </c>
    </row>
    <row r="30" spans="2:222" x14ac:dyDescent="0.2">
      <c r="B30" s="210" t="s">
        <v>1</v>
      </c>
      <c r="D30" s="652" t="s">
        <v>84</v>
      </c>
      <c r="E30" s="653" t="s">
        <v>274</v>
      </c>
      <c r="F30" s="652" t="s">
        <v>84</v>
      </c>
      <c r="G30" s="653" t="s">
        <v>274</v>
      </c>
      <c r="H30" s="652" t="s">
        <v>84</v>
      </c>
      <c r="I30" s="653" t="s">
        <v>274</v>
      </c>
      <c r="J30" s="652" t="s">
        <v>84</v>
      </c>
      <c r="K30" s="653" t="s">
        <v>274</v>
      </c>
      <c r="L30" s="652" t="s">
        <v>84</v>
      </c>
      <c r="M30" s="653" t="s">
        <v>274</v>
      </c>
      <c r="N30" s="652" t="s">
        <v>84</v>
      </c>
      <c r="O30" s="653" t="s">
        <v>274</v>
      </c>
      <c r="P30" s="652" t="s">
        <v>84</v>
      </c>
      <c r="Q30" s="653" t="s">
        <v>274</v>
      </c>
      <c r="R30" s="652" t="s">
        <v>84</v>
      </c>
      <c r="S30" s="653" t="s">
        <v>274</v>
      </c>
      <c r="T30" s="652" t="s">
        <v>84</v>
      </c>
      <c r="U30" s="653" t="s">
        <v>274</v>
      </c>
      <c r="V30" s="652" t="s">
        <v>84</v>
      </c>
      <c r="W30" s="653" t="s">
        <v>274</v>
      </c>
      <c r="X30" s="652" t="s">
        <v>84</v>
      </c>
      <c r="Y30" s="653" t="s">
        <v>274</v>
      </c>
      <c r="Z30" s="652" t="s">
        <v>84</v>
      </c>
      <c r="AA30" s="653" t="s">
        <v>274</v>
      </c>
      <c r="AF30" s="413"/>
      <c r="AG30" s="413"/>
      <c r="AH30" s="413"/>
      <c r="AI30" s="413"/>
      <c r="AJ30" s="413"/>
      <c r="AK30" s="413"/>
      <c r="AL30" s="413"/>
      <c r="AM30" s="413"/>
      <c r="AN30" s="413"/>
      <c r="AO30" s="413"/>
      <c r="AP30" s="413"/>
      <c r="AQ30" s="413"/>
      <c r="AU30" s="411" t="s">
        <v>84</v>
      </c>
      <c r="AV30" s="419"/>
      <c r="AW30" s="411" t="s">
        <v>84</v>
      </c>
      <c r="AX30" s="419"/>
      <c r="AY30" s="411" t="s">
        <v>84</v>
      </c>
      <c r="AZ30" s="419"/>
      <c r="BA30" s="411" t="s">
        <v>84</v>
      </c>
      <c r="BB30" s="419"/>
      <c r="BC30" s="411" t="s">
        <v>84</v>
      </c>
      <c r="BD30" s="419"/>
      <c r="BE30" s="411" t="s">
        <v>84</v>
      </c>
      <c r="BF30" s="419"/>
      <c r="BG30" s="411" t="s">
        <v>84</v>
      </c>
      <c r="BH30" s="419"/>
      <c r="BI30" s="411" t="s">
        <v>84</v>
      </c>
      <c r="BJ30" s="419"/>
      <c r="BK30" s="411" t="s">
        <v>84</v>
      </c>
      <c r="BL30" s="419"/>
      <c r="BM30" s="411" t="s">
        <v>84</v>
      </c>
      <c r="BN30" s="419"/>
      <c r="BO30" s="411" t="s">
        <v>84</v>
      </c>
      <c r="BP30" s="419"/>
      <c r="BQ30" s="411" t="s">
        <v>84</v>
      </c>
      <c r="BR30" s="419"/>
      <c r="BV30" s="411" t="s">
        <v>84</v>
      </c>
      <c r="BW30" s="419"/>
      <c r="BX30" s="411" t="s">
        <v>84</v>
      </c>
      <c r="BY30" s="419"/>
      <c r="BZ30" s="411" t="s">
        <v>84</v>
      </c>
      <c r="CA30" s="419"/>
      <c r="CB30" s="411" t="s">
        <v>84</v>
      </c>
      <c r="CC30" s="419"/>
      <c r="CD30" s="411" t="s">
        <v>84</v>
      </c>
      <c r="CE30" s="419"/>
      <c r="CF30" s="411" t="s">
        <v>84</v>
      </c>
      <c r="CG30" s="419"/>
      <c r="CH30" s="411" t="s">
        <v>84</v>
      </c>
      <c r="CI30" s="419"/>
      <c r="CJ30" s="411" t="s">
        <v>84</v>
      </c>
      <c r="CK30" s="419"/>
      <c r="CL30" s="411" t="s">
        <v>84</v>
      </c>
      <c r="CM30" s="419"/>
      <c r="CN30" s="411" t="s">
        <v>84</v>
      </c>
      <c r="CO30" s="419"/>
      <c r="CP30" s="411" t="s">
        <v>84</v>
      </c>
      <c r="CQ30" s="419"/>
      <c r="CR30" s="411" t="s">
        <v>84</v>
      </c>
      <c r="CS30" s="419"/>
      <c r="CT30" s="419"/>
      <c r="DX30" s="435"/>
      <c r="DY30" s="435"/>
      <c r="DZ30" s="435"/>
      <c r="EA30" s="435"/>
      <c r="EB30" s="435"/>
      <c r="EC30" s="435"/>
      <c r="ED30" s="435"/>
      <c r="EE30" s="435"/>
      <c r="EF30" s="435"/>
      <c r="EG30" s="435"/>
      <c r="EH30" s="435"/>
      <c r="EI30" s="435"/>
      <c r="EK30" s="411" t="s">
        <v>84</v>
      </c>
      <c r="EL30" s="419"/>
      <c r="EM30" s="411" t="s">
        <v>84</v>
      </c>
      <c r="EN30" s="419"/>
      <c r="EO30" s="411" t="s">
        <v>84</v>
      </c>
      <c r="EP30" s="419"/>
      <c r="EQ30" s="411" t="s">
        <v>84</v>
      </c>
      <c r="ER30" s="419"/>
      <c r="ES30" s="411" t="s">
        <v>84</v>
      </c>
      <c r="ET30" s="419"/>
      <c r="EU30" s="411" t="s">
        <v>84</v>
      </c>
      <c r="EV30" s="419"/>
      <c r="EW30" s="411" t="s">
        <v>84</v>
      </c>
      <c r="EX30" s="419"/>
      <c r="EY30" s="411" t="s">
        <v>84</v>
      </c>
      <c r="EZ30" s="419"/>
      <c r="FA30" s="411" t="s">
        <v>84</v>
      </c>
      <c r="FB30" s="419"/>
      <c r="FC30" s="411" t="s">
        <v>84</v>
      </c>
      <c r="FD30" s="419"/>
      <c r="FE30" s="411" t="s">
        <v>84</v>
      </c>
      <c r="FF30" s="419"/>
      <c r="FG30" s="414" t="s">
        <v>84</v>
      </c>
      <c r="FH30" s="419"/>
    </row>
    <row r="31" spans="2:222" ht="6.75" customHeight="1" x14ac:dyDescent="0.2">
      <c r="F31" s="654"/>
      <c r="AF31" s="413"/>
      <c r="AG31" s="413"/>
      <c r="AH31" s="413"/>
      <c r="AI31" s="413"/>
      <c r="AJ31" s="413"/>
      <c r="AK31" s="413"/>
      <c r="AL31" s="413"/>
      <c r="AM31" s="413"/>
      <c r="AN31" s="413"/>
      <c r="AO31" s="413"/>
      <c r="AP31" s="413"/>
      <c r="AQ31" s="413"/>
      <c r="AW31" s="419" t="s">
        <v>11</v>
      </c>
      <c r="BW31" s="419" t="s">
        <v>11</v>
      </c>
      <c r="BX31" s="419"/>
      <c r="BY31" s="419"/>
      <c r="BZ31" s="419"/>
      <c r="CA31" s="419"/>
      <c r="CB31" s="419"/>
      <c r="CC31" s="419"/>
      <c r="CD31" s="419"/>
      <c r="CE31" s="419"/>
      <c r="CF31" s="419"/>
      <c r="CG31" s="419"/>
      <c r="CH31" s="419"/>
      <c r="CI31" s="419"/>
      <c r="CJ31" s="419"/>
      <c r="CK31" s="419"/>
      <c r="CL31" s="419"/>
      <c r="CM31" s="419"/>
      <c r="CN31" s="419"/>
      <c r="CO31" s="419"/>
      <c r="CP31" s="419"/>
      <c r="CQ31" s="419"/>
      <c r="CR31" s="419"/>
      <c r="CS31" s="419"/>
      <c r="CT31" s="419"/>
      <c r="DX31" s="435"/>
      <c r="DY31" s="435"/>
      <c r="DZ31" s="435"/>
      <c r="EA31" s="435"/>
      <c r="EB31" s="435"/>
      <c r="EC31" s="435"/>
      <c r="ED31" s="435"/>
      <c r="EE31" s="435"/>
      <c r="EF31" s="435"/>
      <c r="EG31" s="435"/>
      <c r="EH31" s="435"/>
      <c r="EI31" s="435"/>
      <c r="FH31" s="437"/>
    </row>
    <row r="32" spans="2:222" ht="14.25" x14ac:dyDescent="0.2">
      <c r="B32" s="210">
        <v>1</v>
      </c>
      <c r="D32" s="740"/>
      <c r="E32" s="740"/>
      <c r="F32" s="745"/>
      <c r="G32" s="740"/>
      <c r="H32" s="740"/>
      <c r="I32" s="740"/>
      <c r="J32" s="740"/>
      <c r="K32" s="740"/>
      <c r="L32" s="740"/>
      <c r="M32" s="740"/>
      <c r="N32" s="740"/>
      <c r="O32" s="740"/>
      <c r="P32" s="740"/>
      <c r="Q32" s="740"/>
      <c r="R32" s="740"/>
      <c r="S32" s="740"/>
      <c r="T32" s="740"/>
      <c r="U32" s="740"/>
      <c r="V32" s="740"/>
      <c r="W32" s="740"/>
      <c r="X32" s="740"/>
      <c r="Y32" s="740"/>
      <c r="Z32" s="740"/>
      <c r="AA32" s="740"/>
      <c r="AF32" s="413" t="str">
        <f>IF(E32=0," ",IF(E32&gt;0,E32," "))</f>
        <v xml:space="preserve"> </v>
      </c>
      <c r="AG32" s="413" t="str">
        <f t="shared" ref="AG32:AG47" si="0">IF(G32=0," ",IF(G32&gt;0,G32," "))</f>
        <v xml:space="preserve"> </v>
      </c>
      <c r="AH32" s="413" t="str">
        <f t="shared" ref="AH32:AH47" si="1">IF(I32=0," ",IF(I32&gt;0,I32," "))</f>
        <v xml:space="preserve"> </v>
      </c>
      <c r="AI32" s="413" t="str">
        <f t="shared" ref="AI32:AI47" si="2">IF(K32=0," ",IF(K32&gt;0,K32," "))</f>
        <v xml:space="preserve"> </v>
      </c>
      <c r="AJ32" s="413" t="str">
        <f t="shared" ref="AJ32:AJ47" si="3">IF(M32=0," ",IF(M32&gt;0,M32," "))</f>
        <v xml:space="preserve"> </v>
      </c>
      <c r="AK32" s="413" t="str">
        <f t="shared" ref="AK32:AK47" si="4">IF(O32=0," ",IF(O32&gt;0,O32," "))</f>
        <v xml:space="preserve"> </v>
      </c>
      <c r="AL32" s="413" t="str">
        <f t="shared" ref="AL32:AL47" si="5">IF(Q32=0," ",IF(Q32&gt;0,Q32," "))</f>
        <v xml:space="preserve"> </v>
      </c>
      <c r="AM32" s="413" t="str">
        <f t="shared" ref="AM32:AM47" si="6">IF(S32=0," ",IF(S32&gt;0,S32," "))</f>
        <v xml:space="preserve"> </v>
      </c>
      <c r="AN32" s="413" t="str">
        <f t="shared" ref="AN32:AN62" si="7">IF(U32=0," ",IF(U32&gt;0,U32," "))</f>
        <v xml:space="preserve"> </v>
      </c>
      <c r="AO32" s="413" t="str">
        <f t="shared" ref="AO32:AO62" si="8">IF(W32=0," ",IF(W32&gt;0,W32," "))</f>
        <v xml:space="preserve"> </v>
      </c>
      <c r="AP32" s="413" t="str">
        <f t="shared" ref="AP32:AP62" si="9">IF(Y32=0," ",IF(Y32&gt;0,Y32," "))</f>
        <v xml:space="preserve"> </v>
      </c>
      <c r="AQ32" s="413" t="str">
        <f t="shared" ref="AQ32:AQ62" si="10">IF(AA32=0," ",IF(AA32&gt;0,AA32," "))</f>
        <v xml:space="preserve"> </v>
      </c>
      <c r="AU32" s="438">
        <f>D32</f>
        <v>0</v>
      </c>
      <c r="AV32" s="438" t="str">
        <f>IF(AU32=8,"",IF(E32="","",E32))</f>
        <v/>
      </c>
      <c r="AW32" s="438">
        <f t="shared" ref="AW32:AW43" si="11">F32</f>
        <v>0</v>
      </c>
      <c r="AX32" s="438" t="str">
        <f>IF(AW32=8,"",IF(G32="","",G32))</f>
        <v/>
      </c>
      <c r="AY32" s="438">
        <f t="shared" ref="AY32:AY42" si="12">H32</f>
        <v>0</v>
      </c>
      <c r="AZ32" s="438" t="str">
        <f>IF(AY32=8,"",IF(I32="","",I32))</f>
        <v/>
      </c>
      <c r="BA32" s="438">
        <f t="shared" ref="BA32:BA42" si="13">J32</f>
        <v>0</v>
      </c>
      <c r="BB32" s="438" t="str">
        <f>IF(BA32=8,"",IF(K32="","",K32))</f>
        <v/>
      </c>
      <c r="BC32" s="438">
        <f t="shared" ref="BC32:BC42" si="14">L32</f>
        <v>0</v>
      </c>
      <c r="BD32" s="438" t="str">
        <f>IF(BC32=8,"",IF(M32="","",M32))</f>
        <v/>
      </c>
      <c r="BE32" s="438">
        <f t="shared" ref="BE32:BE42" si="15">N32</f>
        <v>0</v>
      </c>
      <c r="BF32" s="438" t="str">
        <f>IF(BE32=8,"",IF(O32="","",O32))</f>
        <v/>
      </c>
      <c r="BG32" s="438">
        <f t="shared" ref="BG32:BG42" si="16">P32</f>
        <v>0</v>
      </c>
      <c r="BH32" s="438" t="str">
        <f>IF(BG32=8,"",IF(Q32="","",Q32))</f>
        <v/>
      </c>
      <c r="BI32" s="438">
        <f t="shared" ref="BI32:BI42" si="17">R32</f>
        <v>0</v>
      </c>
      <c r="BJ32" s="438" t="str">
        <f>IF(BI32=8,"",IF(S32="","",S32))</f>
        <v/>
      </c>
      <c r="BK32" s="438">
        <f t="shared" ref="BK32:BK42" si="18">T32</f>
        <v>0</v>
      </c>
      <c r="BL32" s="438" t="str">
        <f>IF(BK32=8,"",IF(U32="","",U32))</f>
        <v/>
      </c>
      <c r="BM32" s="438">
        <f t="shared" ref="BM32:BM42" si="19">V32</f>
        <v>0</v>
      </c>
      <c r="BN32" s="438" t="str">
        <f>IF(BM32=8,"",IF(W32="","",W32))</f>
        <v/>
      </c>
      <c r="BO32" s="438">
        <f t="shared" ref="BO32:BO42" si="20">X32</f>
        <v>0</v>
      </c>
      <c r="BP32" s="438" t="str">
        <f>IF(BO32=8,"",IF(Y32="","",Y32))</f>
        <v/>
      </c>
      <c r="BQ32" s="438">
        <f t="shared" ref="BQ32:BQ42" si="21">Z32</f>
        <v>0</v>
      </c>
      <c r="BR32" s="438" t="str">
        <f>IF(BQ32=8,"",IF(AA32="","",AA32))</f>
        <v/>
      </c>
      <c r="BV32" s="439">
        <f>IF(E32=0,8,IF(E32=" ",8,D32))</f>
        <v>8</v>
      </c>
      <c r="BW32" s="439">
        <f>IF(BV32=8,'JSM Jahresdauerlinie'!$E$26,E32)</f>
        <v>9.9999999999999995E-7</v>
      </c>
      <c r="BX32" s="439">
        <f>IF(G32=0,8,IF(G32=" ",8,F32))</f>
        <v>8</v>
      </c>
      <c r="BY32" s="439">
        <f>IF(BX32=8,'JSM Jahresdauerlinie'!$E$26,G32)</f>
        <v>9.9999999999999995E-7</v>
      </c>
      <c r="BZ32" s="439">
        <f>IF(I32=0,8,IF(I32=" ",8,H32))</f>
        <v>8</v>
      </c>
      <c r="CA32" s="439">
        <f>IF(BZ32=8,'JSM Jahresdauerlinie'!$E$26,I32)</f>
        <v>9.9999999999999995E-7</v>
      </c>
      <c r="CB32" s="439">
        <f>IF(K32=0,8,IF(K32=" ",8,J32))</f>
        <v>8</v>
      </c>
      <c r="CC32" s="439">
        <f>IF(CB32=8,'JSM Jahresdauerlinie'!$E$26,K32)</f>
        <v>9.9999999999999995E-7</v>
      </c>
      <c r="CD32" s="439">
        <f>IF(M32=0,8,IF(M32=" ",8,L32))</f>
        <v>8</v>
      </c>
      <c r="CE32" s="439">
        <f>IF(CD32=8,'JSM Jahresdauerlinie'!$E$26,M32)</f>
        <v>9.9999999999999995E-7</v>
      </c>
      <c r="CF32" s="439">
        <f>IF(O32=0,8,IF(O32=" ",8,N32))</f>
        <v>8</v>
      </c>
      <c r="CG32" s="439">
        <f>IF(CF32=8,'JSM Jahresdauerlinie'!$E$26,O32)</f>
        <v>9.9999999999999995E-7</v>
      </c>
      <c r="CH32" s="439">
        <f>IF(Q32=0,8,IF(Q32=" ",8,P32))</f>
        <v>8</v>
      </c>
      <c r="CI32" s="439">
        <f>IF(CH32=8,'JSM Jahresdauerlinie'!$E$26,Q32)</f>
        <v>9.9999999999999995E-7</v>
      </c>
      <c r="CJ32" s="439">
        <f>IF(S32=0,8,IF(S32=" ",8,R32))</f>
        <v>8</v>
      </c>
      <c r="CK32" s="439">
        <f>IF(CJ32=8,'JSM Jahresdauerlinie'!$E$26,S32)</f>
        <v>9.9999999999999995E-7</v>
      </c>
      <c r="CL32" s="439">
        <f>IF(U32=0,8,IF(U32=" ",8,T32))</f>
        <v>8</v>
      </c>
      <c r="CM32" s="439">
        <f>IF(CL32=8,'JSM Jahresdauerlinie'!$E$26,U32)</f>
        <v>9.9999999999999995E-7</v>
      </c>
      <c r="CN32" s="439">
        <f>IF(W32=0,8,IF(W32=" ",8,V32))</f>
        <v>8</v>
      </c>
      <c r="CO32" s="439">
        <f>IF(CN32=8,'JSM Jahresdauerlinie'!$E$26,W32)</f>
        <v>9.9999999999999995E-7</v>
      </c>
      <c r="CP32" s="439">
        <f>IF(Y32=0,8,IF(Y32=" ",8,X32))</f>
        <v>8</v>
      </c>
      <c r="CQ32" s="439">
        <f>IF(CP32=8,'JSM Jahresdauerlinie'!$E$26,Y32)</f>
        <v>9.9999999999999995E-7</v>
      </c>
      <c r="CR32" s="439">
        <f>IF(AA32=0,8,IF(AA32=" ",8,Z32))</f>
        <v>8</v>
      </c>
      <c r="CS32" s="439">
        <f>IF(CR32=8,'JSM Jahresdauerlinie'!$E$26,AA32)</f>
        <v>9.9999999999999995E-7</v>
      </c>
      <c r="CT32" s="440"/>
      <c r="CW32" s="435">
        <f>IF(D32=8,'JSM Jahresdauerlinie'!$E$26,IF(BW32=0," ",BW32))</f>
        <v>9.9999999999999995E-7</v>
      </c>
      <c r="CX32" s="435">
        <f>IF(F32=8,'JSM Jahresdauerlinie'!$E$26,IF(BY32=0," ",BY32))</f>
        <v>9.9999999999999995E-7</v>
      </c>
      <c r="CY32" s="435">
        <f>IF(H32=8,'JSM Jahresdauerlinie'!$E$26,IF(CA32=0," ",CA32))</f>
        <v>9.9999999999999995E-7</v>
      </c>
      <c r="CZ32" s="435">
        <f>IF(J32=8,'JSM Jahresdauerlinie'!$E$26,IF(CC32=0," ",CC32))</f>
        <v>9.9999999999999995E-7</v>
      </c>
      <c r="DA32" s="435">
        <f>IF(L32=8,'JSM Jahresdauerlinie'!$E$26,IF(CE32=0," ",CE32))</f>
        <v>9.9999999999999995E-7</v>
      </c>
      <c r="DB32" s="435">
        <f>IF(N32=8,'JSM Jahresdauerlinie'!$E$26,IF(CG32=0," ",CG32))</f>
        <v>9.9999999999999995E-7</v>
      </c>
      <c r="DC32" s="435">
        <f>IF(P32=8,'JSM Jahresdauerlinie'!$E$26,IF(CI32=0," ",CI32))</f>
        <v>9.9999999999999995E-7</v>
      </c>
      <c r="DD32" s="435">
        <f>IF(R32=8,'JSM Jahresdauerlinie'!$E$26,IF(CK32=0," ",CK32))</f>
        <v>9.9999999999999995E-7</v>
      </c>
      <c r="DE32" s="435">
        <f>IF(T32=8,'JSM Jahresdauerlinie'!$E$26,IF(CM32=0," ",CM32))</f>
        <v>9.9999999999999995E-7</v>
      </c>
      <c r="DF32" s="435">
        <f>IF(V32=8,'JSM Jahresdauerlinie'!$E$26,IF(CO32=0," ",CO32))</f>
        <v>9.9999999999999995E-7</v>
      </c>
      <c r="DG32" s="435">
        <f>IF(X32=8,'JSM Jahresdauerlinie'!$E$26,IF(CQ32=0," ",CQ32))</f>
        <v>9.9999999999999995E-7</v>
      </c>
      <c r="DH32" s="435">
        <f>IF(Z32=8,'JSM Jahresdauerlinie'!$E$26,IF(CS32=0," ",CS32))</f>
        <v>9.9999999999999995E-7</v>
      </c>
      <c r="DJ32" s="441">
        <f t="shared" ref="DJ32:DT32" si="22">IF(CW32=" ",$CU$92+0.01,CW32)</f>
        <v>9.9999999999999995E-7</v>
      </c>
      <c r="DK32" s="441">
        <f t="shared" si="22"/>
        <v>9.9999999999999995E-7</v>
      </c>
      <c r="DL32" s="441">
        <f t="shared" si="22"/>
        <v>9.9999999999999995E-7</v>
      </c>
      <c r="DM32" s="441">
        <f t="shared" si="22"/>
        <v>9.9999999999999995E-7</v>
      </c>
      <c r="DN32" s="441">
        <f t="shared" si="22"/>
        <v>9.9999999999999995E-7</v>
      </c>
      <c r="DO32" s="441">
        <f t="shared" si="22"/>
        <v>9.9999999999999995E-7</v>
      </c>
      <c r="DP32" s="441">
        <f t="shared" si="22"/>
        <v>9.9999999999999995E-7</v>
      </c>
      <c r="DQ32" s="441">
        <f t="shared" si="22"/>
        <v>9.9999999999999995E-7</v>
      </c>
      <c r="DR32" s="441">
        <f t="shared" si="22"/>
        <v>9.9999999999999995E-7</v>
      </c>
      <c r="DS32" s="441">
        <f t="shared" si="22"/>
        <v>9.9999999999999995E-7</v>
      </c>
      <c r="DT32" s="441">
        <f t="shared" si="22"/>
        <v>9.9999999999999995E-7</v>
      </c>
      <c r="DU32" s="441">
        <f t="shared" ref="DU32:DU47" si="23">IF(DH32=" ",$CU$92+0.01,DH32)</f>
        <v>9.9999999999999995E-7</v>
      </c>
      <c r="DX32" s="435">
        <f>BV32</f>
        <v>8</v>
      </c>
      <c r="DY32" s="435">
        <f t="shared" ref="DY32:DY62" si="24">BX32</f>
        <v>8</v>
      </c>
      <c r="DZ32" s="435">
        <f t="shared" ref="DZ32:DZ62" si="25">BZ32</f>
        <v>8</v>
      </c>
      <c r="EA32" s="435">
        <f t="shared" ref="EA32:EA62" si="26">CB32</f>
        <v>8</v>
      </c>
      <c r="EB32" s="435">
        <f t="shared" ref="EB32:EB62" si="27">CD32</f>
        <v>8</v>
      </c>
      <c r="EC32" s="435">
        <f t="shared" ref="EC32:EC62" si="28">CF32</f>
        <v>8</v>
      </c>
      <c r="ED32" s="435">
        <f>CH32</f>
        <v>8</v>
      </c>
      <c r="EE32" s="435">
        <f t="shared" ref="EE32:EE62" si="29">CJ32</f>
        <v>8</v>
      </c>
      <c r="EF32" s="435">
        <f t="shared" ref="EF32:EF62" si="30">CL32</f>
        <v>8</v>
      </c>
      <c r="EG32" s="435">
        <f t="shared" ref="EG32:EG62" si="31">CN32</f>
        <v>8</v>
      </c>
      <c r="EH32" s="435">
        <f t="shared" ref="EH32:EH62" si="32">CP32</f>
        <v>8</v>
      </c>
      <c r="EI32" s="435">
        <f t="shared" ref="EI32:EI62" si="33">CR32</f>
        <v>8</v>
      </c>
      <c r="EK32" s="441" t="str">
        <f>IF(D32=0," ",D32)</f>
        <v xml:space="preserve"> </v>
      </c>
      <c r="EL32" s="441" t="str">
        <f>IF(E32=0," ",IF(EK32=" "," ",IF(D32&lt;=2,E32," ")))</f>
        <v xml:space="preserve"> </v>
      </c>
      <c r="EM32" s="441" t="str">
        <f>IF(F32=0," ",F32)</f>
        <v xml:space="preserve"> </v>
      </c>
      <c r="EN32" s="441" t="str">
        <f>IF(G32=0," ",IF(EM32=" "," ",IF(F32&lt;=2,G32," ")))</f>
        <v xml:space="preserve"> </v>
      </c>
      <c r="EO32" s="441" t="str">
        <f>IF(H32=0," ",H32)</f>
        <v xml:space="preserve"> </v>
      </c>
      <c r="EP32" s="441" t="str">
        <f>IF(I32=0," ",IF(EO32=" "," ",IF(H32&lt;=2,I32," ")))</f>
        <v xml:space="preserve"> </v>
      </c>
      <c r="EQ32" s="441" t="str">
        <f>IF(J32=0," ",J32)</f>
        <v xml:space="preserve"> </v>
      </c>
      <c r="ER32" s="441" t="str">
        <f>IF(K32=0," ",IF(EQ32=" "," ",IF(J32&lt;=2,K32," ")))</f>
        <v xml:space="preserve"> </v>
      </c>
      <c r="ES32" s="441" t="str">
        <f>IF(L32=0," ",L32)</f>
        <v xml:space="preserve"> </v>
      </c>
      <c r="ET32" s="441" t="str">
        <f>IF(M32=0," ",IF(ES32=" "," ",IF(L32&lt;=2,M32," ")))</f>
        <v xml:space="preserve"> </v>
      </c>
      <c r="EU32" s="441" t="str">
        <f>IF(N32=0," ",N32)</f>
        <v xml:space="preserve"> </v>
      </c>
      <c r="EV32" s="441" t="str">
        <f>IF(O32=0," ",IF(EU32=" "," ",IF(N32&lt;=2,O32," ")))</f>
        <v xml:space="preserve"> </v>
      </c>
      <c r="EW32" s="441" t="str">
        <f>IF(P32=0," ",P32)</f>
        <v xml:space="preserve"> </v>
      </c>
      <c r="EX32" s="441" t="str">
        <f>IF(Q32=0," ",IF(EW32=" "," ",IF(P32&lt;=2,Q32," ")))</f>
        <v xml:space="preserve"> </v>
      </c>
      <c r="EY32" s="441" t="str">
        <f>IF(R32=0," ",R32)</f>
        <v xml:space="preserve"> </v>
      </c>
      <c r="EZ32" s="441" t="str">
        <f>IF(S32=0," ",IF(EY32=" "," ",IF(R32&lt;=2,S32," ")))</f>
        <v xml:space="preserve"> </v>
      </c>
      <c r="FA32" s="441" t="str">
        <f>IF(T32=0," ",T32)</f>
        <v xml:space="preserve"> </v>
      </c>
      <c r="FB32" s="441" t="str">
        <f>IF(U32=0," ",IF(FA32=" "," ",IF(T32&lt;=2,U32," ")))</f>
        <v xml:space="preserve"> </v>
      </c>
      <c r="FC32" s="441" t="str">
        <f>IF(V32=0," ",V32)</f>
        <v xml:space="preserve"> </v>
      </c>
      <c r="FD32" s="441" t="str">
        <f>IF(W32=0," ",IF(FC32=" "," ",IF(V32&lt;=2,W32," ")))</f>
        <v xml:space="preserve"> </v>
      </c>
      <c r="FE32" s="441" t="str">
        <f>IF(X32=0," ",X32)</f>
        <v xml:space="preserve"> </v>
      </c>
      <c r="FF32" s="441" t="str">
        <f>IF(Y32=0," ",IF(FE32=" "," ",IF(X32&lt;=2,Y32," ")))</f>
        <v xml:space="preserve"> </v>
      </c>
      <c r="FG32" s="437" t="str">
        <f>IF(Z32=0," ",Z32)</f>
        <v xml:space="preserve"> </v>
      </c>
      <c r="FH32" s="441" t="str">
        <f>IF(AA32=0," ",IF(FG32=" "," ",IF(Z32&lt;=2,AA32," ")))</f>
        <v xml:space="preserve"> </v>
      </c>
      <c r="FI32" s="442"/>
      <c r="FJ32" s="442"/>
      <c r="FK32" s="442"/>
      <c r="FL32" s="389"/>
      <c r="FM32" s="389"/>
      <c r="FN32" s="389"/>
      <c r="FO32" s="389"/>
      <c r="FP32" s="389"/>
      <c r="FQ32" s="389"/>
      <c r="FR32" s="389"/>
      <c r="FS32" s="389"/>
      <c r="FT32" s="389"/>
      <c r="FU32" s="389"/>
      <c r="FV32" s="389"/>
      <c r="FW32" s="389"/>
      <c r="FX32" s="389"/>
      <c r="FY32" s="389"/>
      <c r="FZ32" s="389"/>
      <c r="GA32" s="389"/>
      <c r="GB32" s="389"/>
      <c r="GC32" s="389"/>
      <c r="GD32" s="228"/>
      <c r="GE32" s="228"/>
      <c r="GF32" s="228"/>
      <c r="GG32" s="228"/>
      <c r="GH32" s="228"/>
      <c r="GI32" s="228"/>
      <c r="GJ32" s="228"/>
      <c r="GK32" s="228"/>
      <c r="GL32" s="228"/>
      <c r="GM32" s="228"/>
      <c r="GN32" s="228"/>
      <c r="GO32" s="228"/>
      <c r="GP32" s="228"/>
      <c r="GQ32" s="228"/>
      <c r="GR32" s="228"/>
      <c r="GS32" s="228"/>
      <c r="GT32" s="228"/>
      <c r="GU32" s="228"/>
      <c r="GV32" s="228"/>
      <c r="GW32" s="228"/>
      <c r="GX32" s="228"/>
      <c r="GY32" s="228"/>
      <c r="GZ32" s="228"/>
      <c r="HA32" s="228"/>
      <c r="HB32" s="228"/>
      <c r="HC32" s="228"/>
      <c r="HD32" s="228"/>
      <c r="HE32" s="228"/>
      <c r="HF32" s="228"/>
      <c r="HG32" s="228"/>
      <c r="HH32" s="228"/>
      <c r="HI32" s="228"/>
      <c r="HJ32" s="228"/>
      <c r="HK32" s="228"/>
      <c r="HL32" s="228"/>
      <c r="HM32" s="228"/>
      <c r="HN32" s="228"/>
    </row>
    <row r="33" spans="2:164" ht="14.25" x14ac:dyDescent="0.2">
      <c r="B33" s="210">
        <v>2</v>
      </c>
      <c r="D33" s="745"/>
      <c r="E33" s="740"/>
      <c r="F33" s="745"/>
      <c r="G33" s="740"/>
      <c r="H33" s="740"/>
      <c r="I33" s="740"/>
      <c r="J33" s="740"/>
      <c r="K33" s="740"/>
      <c r="L33" s="740"/>
      <c r="M33" s="740"/>
      <c r="N33" s="740"/>
      <c r="O33" s="740"/>
      <c r="P33" s="740"/>
      <c r="Q33" s="740"/>
      <c r="R33" s="740"/>
      <c r="S33" s="740"/>
      <c r="T33" s="740"/>
      <c r="U33" s="740"/>
      <c r="V33" s="740"/>
      <c r="W33" s="740"/>
      <c r="X33" s="741"/>
      <c r="Y33" s="740"/>
      <c r="Z33" s="740"/>
      <c r="AA33" s="740"/>
      <c r="AF33" s="413" t="str">
        <f t="shared" ref="AF33:AF62" si="34">IF(E33=0," ",IF(E33&gt;0,E33," "))</f>
        <v xml:space="preserve"> </v>
      </c>
      <c r="AG33" s="413" t="str">
        <f t="shared" si="0"/>
        <v xml:space="preserve"> </v>
      </c>
      <c r="AH33" s="413" t="str">
        <f t="shared" si="1"/>
        <v xml:space="preserve"> </v>
      </c>
      <c r="AI33" s="413" t="str">
        <f t="shared" si="2"/>
        <v xml:space="preserve"> </v>
      </c>
      <c r="AJ33" s="413" t="str">
        <f t="shared" si="3"/>
        <v xml:space="preserve"> </v>
      </c>
      <c r="AK33" s="413" t="str">
        <f t="shared" si="4"/>
        <v xml:space="preserve"> </v>
      </c>
      <c r="AL33" s="413" t="str">
        <f t="shared" si="5"/>
        <v xml:space="preserve"> </v>
      </c>
      <c r="AM33" s="413" t="str">
        <f t="shared" si="6"/>
        <v xml:space="preserve"> </v>
      </c>
      <c r="AN33" s="413" t="str">
        <f t="shared" si="7"/>
        <v xml:space="preserve"> </v>
      </c>
      <c r="AO33" s="413" t="str">
        <f t="shared" si="8"/>
        <v xml:space="preserve"> </v>
      </c>
      <c r="AP33" s="413" t="str">
        <f t="shared" si="9"/>
        <v xml:space="preserve"> </v>
      </c>
      <c r="AQ33" s="413" t="str">
        <f t="shared" si="10"/>
        <v xml:space="preserve"> </v>
      </c>
      <c r="AU33" s="438">
        <f t="shared" ref="AU33:AU62" si="35">D33</f>
        <v>0</v>
      </c>
      <c r="AV33" s="438" t="str">
        <f t="shared" ref="AV33:BL62" si="36">IF(AU33=8,"",IF(E33="","",E33))</f>
        <v/>
      </c>
      <c r="AW33" s="438">
        <f t="shared" si="11"/>
        <v>0</v>
      </c>
      <c r="AX33" s="438" t="str">
        <f t="shared" si="36"/>
        <v/>
      </c>
      <c r="AY33" s="438">
        <f t="shared" si="12"/>
        <v>0</v>
      </c>
      <c r="AZ33" s="438" t="str">
        <f t="shared" si="36"/>
        <v/>
      </c>
      <c r="BA33" s="438">
        <f t="shared" si="13"/>
        <v>0</v>
      </c>
      <c r="BB33" s="438" t="str">
        <f t="shared" si="36"/>
        <v/>
      </c>
      <c r="BC33" s="438">
        <f t="shared" si="14"/>
        <v>0</v>
      </c>
      <c r="BD33" s="438" t="str">
        <f t="shared" si="36"/>
        <v/>
      </c>
      <c r="BE33" s="438">
        <f t="shared" si="15"/>
        <v>0</v>
      </c>
      <c r="BF33" s="438" t="str">
        <f t="shared" si="36"/>
        <v/>
      </c>
      <c r="BG33" s="438">
        <f t="shared" si="16"/>
        <v>0</v>
      </c>
      <c r="BH33" s="438" t="str">
        <f t="shared" si="36"/>
        <v/>
      </c>
      <c r="BI33" s="438">
        <f t="shared" si="17"/>
        <v>0</v>
      </c>
      <c r="BJ33" s="438" t="str">
        <f t="shared" si="36"/>
        <v/>
      </c>
      <c r="BK33" s="438">
        <f t="shared" si="18"/>
        <v>0</v>
      </c>
      <c r="BL33" s="438" t="str">
        <f t="shared" si="36"/>
        <v/>
      </c>
      <c r="BM33" s="438">
        <f t="shared" si="19"/>
        <v>0</v>
      </c>
      <c r="BN33" s="438" t="str">
        <f t="shared" ref="BN33:BR47" si="37">IF(BM33=8,"",IF(W33="","",W33))</f>
        <v/>
      </c>
      <c r="BO33" s="438">
        <f t="shared" si="20"/>
        <v>0</v>
      </c>
      <c r="BP33" s="438" t="str">
        <f t="shared" si="37"/>
        <v/>
      </c>
      <c r="BQ33" s="438">
        <f t="shared" si="21"/>
        <v>0</v>
      </c>
      <c r="BR33" s="438" t="str">
        <f t="shared" si="37"/>
        <v/>
      </c>
      <c r="BV33" s="439">
        <f t="shared" ref="BV33:BV62" si="38">IF(E33=0,8,IF(E33=" ",8,D33))</f>
        <v>8</v>
      </c>
      <c r="BW33" s="439">
        <f>IF(BV33=8,'JSM Jahresdauerlinie'!$E$26,E33)</f>
        <v>9.9999999999999995E-7</v>
      </c>
      <c r="BX33" s="439">
        <f t="shared" ref="BX33:BX59" si="39">IF(G33=0,8,IF(G33=" ",8,F33))</f>
        <v>8</v>
      </c>
      <c r="BY33" s="439">
        <f>IF(BX33=8,'JSM Jahresdauerlinie'!$E$26,G33)</f>
        <v>9.9999999999999995E-7</v>
      </c>
      <c r="BZ33" s="439">
        <f t="shared" ref="BZ33:BZ62" si="40">IF(I33=0,8,IF(I33=" ",8,H33))</f>
        <v>8</v>
      </c>
      <c r="CA33" s="439">
        <f>IF(BZ33=8,'JSM Jahresdauerlinie'!$E$26,I33)</f>
        <v>9.9999999999999995E-7</v>
      </c>
      <c r="CB33" s="439">
        <f t="shared" ref="CB33:CB61" si="41">IF(K33=0,8,IF(K33=" ",8,J33))</f>
        <v>8</v>
      </c>
      <c r="CC33" s="439">
        <f>IF(CB33=8,'JSM Jahresdauerlinie'!$E$26,K33)</f>
        <v>9.9999999999999995E-7</v>
      </c>
      <c r="CD33" s="439">
        <f t="shared" ref="CD33:CD62" si="42">IF(M33=0,8,IF(M33=" ",8,L33))</f>
        <v>8</v>
      </c>
      <c r="CE33" s="439">
        <f>IF(CD33=8,'JSM Jahresdauerlinie'!$E$26,M33)</f>
        <v>9.9999999999999995E-7</v>
      </c>
      <c r="CF33" s="439">
        <f t="shared" ref="CF33:CF61" si="43">IF(O33=0,8,IF(O33=" ",8,N33))</f>
        <v>8</v>
      </c>
      <c r="CG33" s="439">
        <f>IF(CF33=8,'JSM Jahresdauerlinie'!$E$26,O33)</f>
        <v>9.9999999999999995E-7</v>
      </c>
      <c r="CH33" s="439">
        <f t="shared" ref="CH33:CH62" si="44">IF(Q33=0,8,IF(Q33=" ",8,P33))</f>
        <v>8</v>
      </c>
      <c r="CI33" s="439">
        <f>IF(CH33=8,'JSM Jahresdauerlinie'!$E$26,Q33)</f>
        <v>9.9999999999999995E-7</v>
      </c>
      <c r="CJ33" s="439">
        <f t="shared" ref="CJ33:CJ62" si="45">IF(S33=0,8,IF(S33=" ",8,R33))</f>
        <v>8</v>
      </c>
      <c r="CK33" s="439">
        <f>IF(CJ33=8,'JSM Jahresdauerlinie'!$E$26,S33)</f>
        <v>9.9999999999999995E-7</v>
      </c>
      <c r="CL33" s="439">
        <f t="shared" ref="CL33:CL61" si="46">IF(U33=0,8,IF(U33=" ",8,T33))</f>
        <v>8</v>
      </c>
      <c r="CM33" s="439">
        <f>IF(CL33=8,'JSM Jahresdauerlinie'!$E$26,U33)</f>
        <v>9.9999999999999995E-7</v>
      </c>
      <c r="CN33" s="439">
        <f t="shared" ref="CN33:CN62" si="47">IF(W33=0,8,IF(W33=" ",8,V33))</f>
        <v>8</v>
      </c>
      <c r="CO33" s="439">
        <f>IF(CN33=8,'JSM Jahresdauerlinie'!$E$26,W33)</f>
        <v>9.9999999999999995E-7</v>
      </c>
      <c r="CP33" s="439">
        <f t="shared" ref="CP33:CP61" si="48">IF(Y33=0,8,IF(Y33=" ",8,X33))</f>
        <v>8</v>
      </c>
      <c r="CQ33" s="439">
        <f>IF(CP33=8,'JSM Jahresdauerlinie'!$E$26,Y33)</f>
        <v>9.9999999999999995E-7</v>
      </c>
      <c r="CR33" s="439">
        <f t="shared" ref="CR33:CR62" si="49">IF(AA33=0,8,IF(AA33=" ",8,Z33))</f>
        <v>8</v>
      </c>
      <c r="CS33" s="439">
        <f>IF(CR33=8,'JSM Jahresdauerlinie'!$E$26,AA33)</f>
        <v>9.9999999999999995E-7</v>
      </c>
      <c r="CT33" s="440"/>
      <c r="CW33" s="435">
        <f>IF(D33=8,'JSM Jahresdauerlinie'!$E$26,IF(BW33=0," ",BW33))</f>
        <v>9.9999999999999995E-7</v>
      </c>
      <c r="CX33" s="435">
        <f>IF(F33=8,'JSM Jahresdauerlinie'!$E$26,IF(BY33=0," ",BY33))</f>
        <v>9.9999999999999995E-7</v>
      </c>
      <c r="CY33" s="435">
        <f>IF(H33=8,'JSM Jahresdauerlinie'!$E$26,IF(CA33=0," ",CA33))</f>
        <v>9.9999999999999995E-7</v>
      </c>
      <c r="CZ33" s="435">
        <f>IF(J33=8,'JSM Jahresdauerlinie'!$E$26,IF(CC33=0," ",CC33))</f>
        <v>9.9999999999999995E-7</v>
      </c>
      <c r="DA33" s="435">
        <f>IF(L33=8,'JSM Jahresdauerlinie'!$E$26,IF(CE33=0," ",CE33))</f>
        <v>9.9999999999999995E-7</v>
      </c>
      <c r="DB33" s="435">
        <f>IF(N33=8,'JSM Jahresdauerlinie'!$E$26,IF(CG33=0," ",CG33))</f>
        <v>9.9999999999999995E-7</v>
      </c>
      <c r="DC33" s="435">
        <f>IF(P33=8,'JSM Jahresdauerlinie'!$E$26,IF(CI33=0," ",CI33))</f>
        <v>9.9999999999999995E-7</v>
      </c>
      <c r="DD33" s="435">
        <f>IF(R33=8,'JSM Jahresdauerlinie'!$E$26,IF(CK33=0," ",CK33))</f>
        <v>9.9999999999999995E-7</v>
      </c>
      <c r="DE33" s="435">
        <f>IF(T33=8,'JSM Jahresdauerlinie'!$E$26,IF(CM33=0," ",CM33))</f>
        <v>9.9999999999999995E-7</v>
      </c>
      <c r="DF33" s="435">
        <f>IF(V33=8,'JSM Jahresdauerlinie'!$E$26,IF(CO33=0," ",CO33))</f>
        <v>9.9999999999999995E-7</v>
      </c>
      <c r="DG33" s="435">
        <f>IF(X33=8,'JSM Jahresdauerlinie'!$E$26,IF(CQ33=0," ",CQ33))</f>
        <v>9.9999999999999995E-7</v>
      </c>
      <c r="DH33" s="435">
        <f>IF(Z33=8,'JSM Jahresdauerlinie'!$E$26,IF(CS33=0," ",CS33))</f>
        <v>9.9999999999999995E-7</v>
      </c>
      <c r="DJ33" s="441">
        <f t="shared" ref="DJ33:DJ62" si="50">IF(CW33=" ",$CU$92+0.01,CW33)</f>
        <v>9.9999999999999995E-7</v>
      </c>
      <c r="DK33" s="441">
        <f t="shared" ref="DK33:DK47" si="51">IF(CX33=" ",$CU$92+0.01,CX33)</f>
        <v>9.9999999999999995E-7</v>
      </c>
      <c r="DL33" s="441">
        <f t="shared" ref="DL33:DL47" si="52">IF(CY33=" ",$CU$92+0.01,CY33)</f>
        <v>9.9999999999999995E-7</v>
      </c>
      <c r="DM33" s="441">
        <f t="shared" ref="DM33:DM47" si="53">IF(CZ33=" ",$CU$92+0.01,CZ33)</f>
        <v>9.9999999999999995E-7</v>
      </c>
      <c r="DN33" s="441">
        <f t="shared" ref="DN33:DN47" si="54">IF(DA33=" ",$CU$92+0.01,DA33)</f>
        <v>9.9999999999999995E-7</v>
      </c>
      <c r="DO33" s="441">
        <f t="shared" ref="DO33:DO47" si="55">IF(DB33=" ",$CU$92+0.01,DB33)</f>
        <v>9.9999999999999995E-7</v>
      </c>
      <c r="DP33" s="441">
        <f t="shared" ref="DP33:DP47" si="56">IF(DC33=" ",$CU$92+0.01,DC33)</f>
        <v>9.9999999999999995E-7</v>
      </c>
      <c r="DQ33" s="441">
        <f t="shared" ref="DQ33:DQ47" si="57">IF(DD33=" ",$CU$92+0.01,DD33)</f>
        <v>9.9999999999999995E-7</v>
      </c>
      <c r="DR33" s="441">
        <f t="shared" ref="DR33:DR47" si="58">IF(DE33=" ",$CU$92+0.01,DE33)</f>
        <v>9.9999999999999995E-7</v>
      </c>
      <c r="DS33" s="441">
        <f t="shared" ref="DS33:DS47" si="59">IF(DF33=" ",$CU$92+0.01,DF33)</f>
        <v>9.9999999999999995E-7</v>
      </c>
      <c r="DT33" s="441">
        <f t="shared" ref="DT33:DT47" si="60">IF(DG33=" ",$CU$92+0.01,DG33)</f>
        <v>9.9999999999999995E-7</v>
      </c>
      <c r="DU33" s="441">
        <f t="shared" si="23"/>
        <v>9.9999999999999995E-7</v>
      </c>
      <c r="DX33" s="435">
        <f t="shared" ref="DX33:DX62" si="61">BV33</f>
        <v>8</v>
      </c>
      <c r="DY33" s="435">
        <f t="shared" si="24"/>
        <v>8</v>
      </c>
      <c r="DZ33" s="435">
        <f t="shared" si="25"/>
        <v>8</v>
      </c>
      <c r="EA33" s="435">
        <f t="shared" si="26"/>
        <v>8</v>
      </c>
      <c r="EB33" s="435">
        <f t="shared" si="27"/>
        <v>8</v>
      </c>
      <c r="EC33" s="435">
        <f t="shared" si="28"/>
        <v>8</v>
      </c>
      <c r="ED33" s="435">
        <f t="shared" ref="ED33:ED62" si="62">CH33</f>
        <v>8</v>
      </c>
      <c r="EE33" s="435">
        <f t="shared" si="29"/>
        <v>8</v>
      </c>
      <c r="EF33" s="435">
        <f t="shared" si="30"/>
        <v>8</v>
      </c>
      <c r="EG33" s="435">
        <f t="shared" si="31"/>
        <v>8</v>
      </c>
      <c r="EH33" s="435">
        <f t="shared" si="32"/>
        <v>8</v>
      </c>
      <c r="EI33" s="435">
        <f t="shared" si="33"/>
        <v>8</v>
      </c>
      <c r="EK33" s="441" t="str">
        <f t="shared" ref="EK33:FA62" si="63">IF(D33=0," ",D33)</f>
        <v xml:space="preserve"> </v>
      </c>
      <c r="EL33" s="441" t="str">
        <f t="shared" ref="EL33:FB62" si="64">IF(E33=0," ",IF(EK33=" "," ",IF(D33&lt;=2,E33," ")))</f>
        <v xml:space="preserve"> </v>
      </c>
      <c r="EM33" s="441" t="str">
        <f t="shared" si="63"/>
        <v xml:space="preserve"> </v>
      </c>
      <c r="EN33" s="441" t="str">
        <f t="shared" si="64"/>
        <v xml:space="preserve"> </v>
      </c>
      <c r="EO33" s="441" t="str">
        <f t="shared" si="63"/>
        <v xml:space="preserve"> </v>
      </c>
      <c r="EP33" s="441" t="str">
        <f t="shared" si="64"/>
        <v xml:space="preserve"> </v>
      </c>
      <c r="EQ33" s="441" t="str">
        <f t="shared" si="63"/>
        <v xml:space="preserve"> </v>
      </c>
      <c r="ER33" s="441" t="str">
        <f t="shared" si="64"/>
        <v xml:space="preserve"> </v>
      </c>
      <c r="ES33" s="441" t="str">
        <f t="shared" si="63"/>
        <v xml:space="preserve"> </v>
      </c>
      <c r="ET33" s="441" t="str">
        <f t="shared" si="64"/>
        <v xml:space="preserve"> </v>
      </c>
      <c r="EU33" s="441" t="str">
        <f t="shared" si="63"/>
        <v xml:space="preserve"> </v>
      </c>
      <c r="EV33" s="441" t="str">
        <f t="shared" si="64"/>
        <v xml:space="preserve"> </v>
      </c>
      <c r="EW33" s="441" t="str">
        <f t="shared" si="63"/>
        <v xml:space="preserve"> </v>
      </c>
      <c r="EX33" s="441" t="str">
        <f t="shared" si="64"/>
        <v xml:space="preserve"> </v>
      </c>
      <c r="EY33" s="441" t="str">
        <f t="shared" si="63"/>
        <v xml:space="preserve"> </v>
      </c>
      <c r="EZ33" s="441" t="str">
        <f t="shared" si="64"/>
        <v xml:space="preserve"> </v>
      </c>
      <c r="FA33" s="441" t="str">
        <f t="shared" si="63"/>
        <v xml:space="preserve"> </v>
      </c>
      <c r="FB33" s="441" t="str">
        <f t="shared" si="64"/>
        <v xml:space="preserve"> </v>
      </c>
      <c r="FC33" s="441" t="str">
        <f t="shared" ref="FC33:FG47" si="65">IF(V33=0," ",V33)</f>
        <v xml:space="preserve"> </v>
      </c>
      <c r="FD33" s="441" t="str">
        <f t="shared" ref="FD33:FH47" si="66">IF(W33=0," ",IF(FC33=" "," ",IF(V33&lt;=2,W33," ")))</f>
        <v xml:space="preserve"> </v>
      </c>
      <c r="FE33" s="441" t="str">
        <f t="shared" si="65"/>
        <v xml:space="preserve"> </v>
      </c>
      <c r="FF33" s="441" t="str">
        <f t="shared" si="66"/>
        <v xml:space="preserve"> </v>
      </c>
      <c r="FG33" s="437" t="str">
        <f t="shared" si="65"/>
        <v xml:space="preserve"> </v>
      </c>
      <c r="FH33" s="441" t="str">
        <f t="shared" si="66"/>
        <v xml:space="preserve"> </v>
      </c>
    </row>
    <row r="34" spans="2:164" ht="14.25" x14ac:dyDescent="0.2">
      <c r="B34" s="210">
        <v>3</v>
      </c>
      <c r="D34" s="745"/>
      <c r="E34" s="740"/>
      <c r="F34" s="740"/>
      <c r="G34" s="740"/>
      <c r="H34" s="740"/>
      <c r="I34" s="740"/>
      <c r="J34" s="740"/>
      <c r="K34" s="740"/>
      <c r="L34" s="740"/>
      <c r="M34" s="740"/>
      <c r="N34" s="740"/>
      <c r="O34" s="740"/>
      <c r="P34" s="740"/>
      <c r="Q34" s="740"/>
      <c r="R34" s="740"/>
      <c r="S34" s="740"/>
      <c r="T34" s="740"/>
      <c r="U34" s="740"/>
      <c r="V34" s="740"/>
      <c r="W34" s="740"/>
      <c r="X34" s="741"/>
      <c r="Y34" s="740"/>
      <c r="Z34" s="740"/>
      <c r="AA34" s="740"/>
      <c r="AF34" s="413" t="str">
        <f t="shared" si="34"/>
        <v xml:space="preserve"> </v>
      </c>
      <c r="AG34" s="413" t="str">
        <f t="shared" si="0"/>
        <v xml:space="preserve"> </v>
      </c>
      <c r="AH34" s="413" t="str">
        <f t="shared" si="1"/>
        <v xml:space="preserve"> </v>
      </c>
      <c r="AI34" s="413" t="str">
        <f t="shared" si="2"/>
        <v xml:space="preserve"> </v>
      </c>
      <c r="AJ34" s="413" t="str">
        <f t="shared" si="3"/>
        <v xml:space="preserve"> </v>
      </c>
      <c r="AK34" s="413" t="str">
        <f t="shared" si="4"/>
        <v xml:space="preserve"> </v>
      </c>
      <c r="AL34" s="413" t="str">
        <f t="shared" si="5"/>
        <v xml:space="preserve"> </v>
      </c>
      <c r="AM34" s="413" t="str">
        <f t="shared" si="6"/>
        <v xml:space="preserve"> </v>
      </c>
      <c r="AN34" s="413" t="str">
        <f t="shared" si="7"/>
        <v xml:space="preserve"> </v>
      </c>
      <c r="AO34" s="413" t="str">
        <f t="shared" si="8"/>
        <v xml:space="preserve"> </v>
      </c>
      <c r="AP34" s="413" t="str">
        <f t="shared" si="9"/>
        <v xml:space="preserve"> </v>
      </c>
      <c r="AQ34" s="413" t="str">
        <f t="shared" si="10"/>
        <v xml:space="preserve"> </v>
      </c>
      <c r="AU34" s="438">
        <f t="shared" si="35"/>
        <v>0</v>
      </c>
      <c r="AV34" s="438" t="str">
        <f t="shared" si="36"/>
        <v/>
      </c>
      <c r="AW34" s="438">
        <f t="shared" si="11"/>
        <v>0</v>
      </c>
      <c r="AX34" s="438" t="str">
        <f t="shared" si="36"/>
        <v/>
      </c>
      <c r="AY34" s="438">
        <f t="shared" si="12"/>
        <v>0</v>
      </c>
      <c r="AZ34" s="438" t="str">
        <f t="shared" si="36"/>
        <v/>
      </c>
      <c r="BA34" s="438">
        <f t="shared" si="13"/>
        <v>0</v>
      </c>
      <c r="BB34" s="438" t="str">
        <f t="shared" si="36"/>
        <v/>
      </c>
      <c r="BC34" s="438">
        <f t="shared" si="14"/>
        <v>0</v>
      </c>
      <c r="BD34" s="438" t="str">
        <f t="shared" si="36"/>
        <v/>
      </c>
      <c r="BE34" s="438">
        <f t="shared" si="15"/>
        <v>0</v>
      </c>
      <c r="BF34" s="438" t="str">
        <f t="shared" si="36"/>
        <v/>
      </c>
      <c r="BG34" s="438">
        <f t="shared" si="16"/>
        <v>0</v>
      </c>
      <c r="BH34" s="438" t="str">
        <f t="shared" si="36"/>
        <v/>
      </c>
      <c r="BI34" s="438">
        <f t="shared" si="17"/>
        <v>0</v>
      </c>
      <c r="BJ34" s="438" t="str">
        <f t="shared" si="36"/>
        <v/>
      </c>
      <c r="BK34" s="438">
        <f t="shared" si="18"/>
        <v>0</v>
      </c>
      <c r="BL34" s="438" t="str">
        <f t="shared" si="36"/>
        <v/>
      </c>
      <c r="BM34" s="438">
        <f t="shared" si="19"/>
        <v>0</v>
      </c>
      <c r="BN34" s="438" t="str">
        <f t="shared" si="37"/>
        <v/>
      </c>
      <c r="BO34" s="438">
        <f t="shared" si="20"/>
        <v>0</v>
      </c>
      <c r="BP34" s="438" t="str">
        <f t="shared" si="37"/>
        <v/>
      </c>
      <c r="BQ34" s="438">
        <f t="shared" si="21"/>
        <v>0</v>
      </c>
      <c r="BR34" s="438" t="str">
        <f t="shared" si="37"/>
        <v/>
      </c>
      <c r="BV34" s="439">
        <f t="shared" si="38"/>
        <v>8</v>
      </c>
      <c r="BW34" s="439">
        <f>IF(BV34=8,'JSM Jahresdauerlinie'!$E$26,E34)</f>
        <v>9.9999999999999995E-7</v>
      </c>
      <c r="BX34" s="439">
        <f t="shared" si="39"/>
        <v>8</v>
      </c>
      <c r="BY34" s="439">
        <f>IF(BX34=8,'JSM Jahresdauerlinie'!$E$26,G34)</f>
        <v>9.9999999999999995E-7</v>
      </c>
      <c r="BZ34" s="439">
        <f t="shared" si="40"/>
        <v>8</v>
      </c>
      <c r="CA34" s="439">
        <f>IF(BZ34=8,'JSM Jahresdauerlinie'!$E$26,I34)</f>
        <v>9.9999999999999995E-7</v>
      </c>
      <c r="CB34" s="439">
        <f t="shared" si="41"/>
        <v>8</v>
      </c>
      <c r="CC34" s="439">
        <f>IF(CB34=8,'JSM Jahresdauerlinie'!$E$26,K34)</f>
        <v>9.9999999999999995E-7</v>
      </c>
      <c r="CD34" s="439">
        <f t="shared" si="42"/>
        <v>8</v>
      </c>
      <c r="CE34" s="439">
        <f>IF(CD34=8,'JSM Jahresdauerlinie'!$E$26,M34)</f>
        <v>9.9999999999999995E-7</v>
      </c>
      <c r="CF34" s="439">
        <f t="shared" si="43"/>
        <v>8</v>
      </c>
      <c r="CG34" s="439">
        <f>IF(CF34=8,'JSM Jahresdauerlinie'!$E$26,O34)</f>
        <v>9.9999999999999995E-7</v>
      </c>
      <c r="CH34" s="439">
        <f t="shared" si="44"/>
        <v>8</v>
      </c>
      <c r="CI34" s="439">
        <f>IF(CH34=8,'JSM Jahresdauerlinie'!$E$26,Q34)</f>
        <v>9.9999999999999995E-7</v>
      </c>
      <c r="CJ34" s="439">
        <f t="shared" si="45"/>
        <v>8</v>
      </c>
      <c r="CK34" s="439">
        <f>IF(CJ34=8,'JSM Jahresdauerlinie'!$E$26,S34)</f>
        <v>9.9999999999999995E-7</v>
      </c>
      <c r="CL34" s="439">
        <f t="shared" si="46"/>
        <v>8</v>
      </c>
      <c r="CM34" s="439">
        <f>IF(CL34=8,'JSM Jahresdauerlinie'!$E$26,U34)</f>
        <v>9.9999999999999995E-7</v>
      </c>
      <c r="CN34" s="439">
        <f t="shared" si="47"/>
        <v>8</v>
      </c>
      <c r="CO34" s="439">
        <f>IF(CN34=8,'JSM Jahresdauerlinie'!$E$26,W34)</f>
        <v>9.9999999999999995E-7</v>
      </c>
      <c r="CP34" s="439">
        <f t="shared" si="48"/>
        <v>8</v>
      </c>
      <c r="CQ34" s="439">
        <f>IF(CP34=8,'JSM Jahresdauerlinie'!$E$26,Y34)</f>
        <v>9.9999999999999995E-7</v>
      </c>
      <c r="CR34" s="439">
        <f t="shared" si="49"/>
        <v>8</v>
      </c>
      <c r="CS34" s="439">
        <f>IF(CR34=8,'JSM Jahresdauerlinie'!$E$26,AA34)</f>
        <v>9.9999999999999995E-7</v>
      </c>
      <c r="CT34" s="440"/>
      <c r="CW34" s="435">
        <f>IF(D34=8,'JSM Jahresdauerlinie'!$E$26,IF(BW34=0," ",BW34))</f>
        <v>9.9999999999999995E-7</v>
      </c>
      <c r="CX34" s="435">
        <f>IF(F34=8,'JSM Jahresdauerlinie'!$E$26,IF(BY34=0," ",BY34))</f>
        <v>9.9999999999999995E-7</v>
      </c>
      <c r="CY34" s="435">
        <f>IF(H34=8,'JSM Jahresdauerlinie'!$E$26,IF(CA34=0," ",CA34))</f>
        <v>9.9999999999999995E-7</v>
      </c>
      <c r="CZ34" s="435">
        <f>IF(J34=8,'JSM Jahresdauerlinie'!$E$26,IF(CC34=0," ",CC34))</f>
        <v>9.9999999999999995E-7</v>
      </c>
      <c r="DA34" s="435">
        <f>IF(L34=8,'JSM Jahresdauerlinie'!$E$26,IF(CE34=0," ",CE34))</f>
        <v>9.9999999999999995E-7</v>
      </c>
      <c r="DB34" s="435">
        <f>IF(N34=8,'JSM Jahresdauerlinie'!$E$26,IF(CG34=0," ",CG34))</f>
        <v>9.9999999999999995E-7</v>
      </c>
      <c r="DC34" s="435">
        <f>IF(P34=8,'JSM Jahresdauerlinie'!$E$26,IF(CI34=0," ",CI34))</f>
        <v>9.9999999999999995E-7</v>
      </c>
      <c r="DD34" s="435">
        <f>IF(R34=8,'JSM Jahresdauerlinie'!$E$26,IF(CK34=0," ",CK34))</f>
        <v>9.9999999999999995E-7</v>
      </c>
      <c r="DE34" s="435">
        <f>IF(T34=8,'JSM Jahresdauerlinie'!$E$26,IF(CM34=0," ",CM34))</f>
        <v>9.9999999999999995E-7</v>
      </c>
      <c r="DF34" s="435">
        <f>IF(V34=8,'JSM Jahresdauerlinie'!$E$26,IF(CO34=0," ",CO34))</f>
        <v>9.9999999999999995E-7</v>
      </c>
      <c r="DG34" s="435">
        <f>IF(X34=8,'JSM Jahresdauerlinie'!$E$26,IF(CQ34=0," ",CQ34))</f>
        <v>9.9999999999999995E-7</v>
      </c>
      <c r="DH34" s="435">
        <f>IF(Z34=8,'JSM Jahresdauerlinie'!$E$26,IF(CS34=0," ",CS34))</f>
        <v>9.9999999999999995E-7</v>
      </c>
      <c r="DJ34" s="441">
        <f t="shared" si="50"/>
        <v>9.9999999999999995E-7</v>
      </c>
      <c r="DK34" s="441">
        <f t="shared" si="51"/>
        <v>9.9999999999999995E-7</v>
      </c>
      <c r="DL34" s="441">
        <f t="shared" si="52"/>
        <v>9.9999999999999995E-7</v>
      </c>
      <c r="DM34" s="441">
        <f t="shared" si="53"/>
        <v>9.9999999999999995E-7</v>
      </c>
      <c r="DN34" s="441">
        <f t="shared" si="54"/>
        <v>9.9999999999999995E-7</v>
      </c>
      <c r="DO34" s="441">
        <f t="shared" si="55"/>
        <v>9.9999999999999995E-7</v>
      </c>
      <c r="DP34" s="441">
        <f t="shared" si="56"/>
        <v>9.9999999999999995E-7</v>
      </c>
      <c r="DQ34" s="441">
        <f t="shared" si="57"/>
        <v>9.9999999999999995E-7</v>
      </c>
      <c r="DR34" s="441">
        <f t="shared" si="58"/>
        <v>9.9999999999999995E-7</v>
      </c>
      <c r="DS34" s="441">
        <f t="shared" si="59"/>
        <v>9.9999999999999995E-7</v>
      </c>
      <c r="DT34" s="441">
        <f t="shared" si="60"/>
        <v>9.9999999999999995E-7</v>
      </c>
      <c r="DU34" s="441">
        <f t="shared" si="23"/>
        <v>9.9999999999999995E-7</v>
      </c>
      <c r="DX34" s="435">
        <f t="shared" si="61"/>
        <v>8</v>
      </c>
      <c r="DY34" s="435">
        <f t="shared" si="24"/>
        <v>8</v>
      </c>
      <c r="DZ34" s="435">
        <f t="shared" si="25"/>
        <v>8</v>
      </c>
      <c r="EA34" s="435">
        <f t="shared" si="26"/>
        <v>8</v>
      </c>
      <c r="EB34" s="435">
        <f t="shared" si="27"/>
        <v>8</v>
      </c>
      <c r="EC34" s="435">
        <f t="shared" si="28"/>
        <v>8</v>
      </c>
      <c r="ED34" s="435">
        <f t="shared" si="62"/>
        <v>8</v>
      </c>
      <c r="EE34" s="435">
        <f t="shared" si="29"/>
        <v>8</v>
      </c>
      <c r="EF34" s="435">
        <f t="shared" si="30"/>
        <v>8</v>
      </c>
      <c r="EG34" s="435">
        <f t="shared" si="31"/>
        <v>8</v>
      </c>
      <c r="EH34" s="435">
        <f t="shared" si="32"/>
        <v>8</v>
      </c>
      <c r="EI34" s="435">
        <f t="shared" si="33"/>
        <v>8</v>
      </c>
      <c r="EK34" s="441" t="str">
        <f t="shared" si="63"/>
        <v xml:space="preserve"> </v>
      </c>
      <c r="EL34" s="441" t="str">
        <f t="shared" si="64"/>
        <v xml:space="preserve"> </v>
      </c>
      <c r="EM34" s="441" t="str">
        <f t="shared" si="63"/>
        <v xml:space="preserve"> </v>
      </c>
      <c r="EN34" s="441" t="str">
        <f t="shared" si="64"/>
        <v xml:space="preserve"> </v>
      </c>
      <c r="EO34" s="441" t="str">
        <f t="shared" si="63"/>
        <v xml:space="preserve"> </v>
      </c>
      <c r="EP34" s="441" t="str">
        <f t="shared" si="64"/>
        <v xml:space="preserve"> </v>
      </c>
      <c r="EQ34" s="441" t="str">
        <f t="shared" si="63"/>
        <v xml:space="preserve"> </v>
      </c>
      <c r="ER34" s="441" t="str">
        <f t="shared" si="64"/>
        <v xml:space="preserve"> </v>
      </c>
      <c r="ES34" s="441" t="str">
        <f t="shared" si="63"/>
        <v xml:space="preserve"> </v>
      </c>
      <c r="ET34" s="441" t="str">
        <f t="shared" si="64"/>
        <v xml:space="preserve"> </v>
      </c>
      <c r="EU34" s="441" t="str">
        <f t="shared" si="63"/>
        <v xml:space="preserve"> </v>
      </c>
      <c r="EV34" s="441" t="str">
        <f t="shared" si="64"/>
        <v xml:space="preserve"> </v>
      </c>
      <c r="EW34" s="441" t="str">
        <f t="shared" si="63"/>
        <v xml:space="preserve"> </v>
      </c>
      <c r="EX34" s="441" t="str">
        <f t="shared" si="64"/>
        <v xml:space="preserve"> </v>
      </c>
      <c r="EY34" s="441" t="str">
        <f t="shared" si="63"/>
        <v xml:space="preserve"> </v>
      </c>
      <c r="EZ34" s="441" t="str">
        <f t="shared" si="64"/>
        <v xml:space="preserve"> </v>
      </c>
      <c r="FA34" s="441" t="str">
        <f t="shared" si="63"/>
        <v xml:space="preserve"> </v>
      </c>
      <c r="FB34" s="441" t="str">
        <f t="shared" si="64"/>
        <v xml:space="preserve"> </v>
      </c>
      <c r="FC34" s="441" t="str">
        <f t="shared" si="65"/>
        <v xml:space="preserve"> </v>
      </c>
      <c r="FD34" s="441" t="str">
        <f t="shared" si="66"/>
        <v xml:space="preserve"> </v>
      </c>
      <c r="FE34" s="441" t="str">
        <f t="shared" si="65"/>
        <v xml:space="preserve"> </v>
      </c>
      <c r="FF34" s="441" t="str">
        <f t="shared" si="66"/>
        <v xml:space="preserve"> </v>
      </c>
      <c r="FG34" s="437" t="str">
        <f t="shared" si="65"/>
        <v xml:space="preserve"> </v>
      </c>
      <c r="FH34" s="441" t="str">
        <f t="shared" si="66"/>
        <v xml:space="preserve"> </v>
      </c>
    </row>
    <row r="35" spans="2:164" ht="14.25" x14ac:dyDescent="0.2">
      <c r="B35" s="210">
        <v>4</v>
      </c>
      <c r="D35" s="745"/>
      <c r="E35" s="740"/>
      <c r="F35" s="740"/>
      <c r="G35" s="740"/>
      <c r="H35" s="740"/>
      <c r="I35" s="740"/>
      <c r="J35" s="745"/>
      <c r="K35" s="740"/>
      <c r="L35" s="740"/>
      <c r="M35" s="740"/>
      <c r="N35" s="740"/>
      <c r="O35" s="740"/>
      <c r="P35" s="740"/>
      <c r="Q35" s="740"/>
      <c r="R35" s="740"/>
      <c r="S35" s="740"/>
      <c r="T35" s="740"/>
      <c r="U35" s="740"/>
      <c r="V35" s="740"/>
      <c r="W35" s="740"/>
      <c r="X35" s="741"/>
      <c r="Y35" s="740"/>
      <c r="Z35" s="740"/>
      <c r="AA35" s="740"/>
      <c r="AF35" s="413" t="str">
        <f t="shared" si="34"/>
        <v xml:space="preserve"> </v>
      </c>
      <c r="AG35" s="413" t="str">
        <f t="shared" si="0"/>
        <v xml:space="preserve"> </v>
      </c>
      <c r="AH35" s="413" t="str">
        <f t="shared" si="1"/>
        <v xml:space="preserve"> </v>
      </c>
      <c r="AI35" s="413" t="str">
        <f t="shared" si="2"/>
        <v xml:space="preserve"> </v>
      </c>
      <c r="AJ35" s="413" t="str">
        <f t="shared" si="3"/>
        <v xml:space="preserve"> </v>
      </c>
      <c r="AK35" s="413" t="str">
        <f t="shared" si="4"/>
        <v xml:space="preserve"> </v>
      </c>
      <c r="AL35" s="413" t="str">
        <f t="shared" si="5"/>
        <v xml:space="preserve"> </v>
      </c>
      <c r="AM35" s="413" t="str">
        <f t="shared" si="6"/>
        <v xml:space="preserve"> </v>
      </c>
      <c r="AN35" s="413" t="str">
        <f t="shared" si="7"/>
        <v xml:space="preserve"> </v>
      </c>
      <c r="AO35" s="413" t="str">
        <f t="shared" si="8"/>
        <v xml:space="preserve"> </v>
      </c>
      <c r="AP35" s="413" t="str">
        <f t="shared" si="9"/>
        <v xml:space="preserve"> </v>
      </c>
      <c r="AQ35" s="413" t="str">
        <f t="shared" si="10"/>
        <v xml:space="preserve"> </v>
      </c>
      <c r="AU35" s="438">
        <f t="shared" si="35"/>
        <v>0</v>
      </c>
      <c r="AV35" s="438" t="str">
        <f t="shared" si="36"/>
        <v/>
      </c>
      <c r="AW35" s="438">
        <f t="shared" si="11"/>
        <v>0</v>
      </c>
      <c r="AX35" s="438" t="str">
        <f t="shared" si="36"/>
        <v/>
      </c>
      <c r="AY35" s="438">
        <f t="shared" si="12"/>
        <v>0</v>
      </c>
      <c r="AZ35" s="438" t="str">
        <f t="shared" si="36"/>
        <v/>
      </c>
      <c r="BA35" s="438">
        <f t="shared" si="13"/>
        <v>0</v>
      </c>
      <c r="BB35" s="438" t="str">
        <f t="shared" si="36"/>
        <v/>
      </c>
      <c r="BC35" s="438">
        <f t="shared" si="14"/>
        <v>0</v>
      </c>
      <c r="BD35" s="438" t="str">
        <f t="shared" si="36"/>
        <v/>
      </c>
      <c r="BE35" s="438">
        <f t="shared" si="15"/>
        <v>0</v>
      </c>
      <c r="BF35" s="438" t="str">
        <f t="shared" si="36"/>
        <v/>
      </c>
      <c r="BG35" s="438">
        <f t="shared" si="16"/>
        <v>0</v>
      </c>
      <c r="BH35" s="438" t="str">
        <f t="shared" si="36"/>
        <v/>
      </c>
      <c r="BI35" s="438">
        <f t="shared" si="17"/>
        <v>0</v>
      </c>
      <c r="BJ35" s="438" t="str">
        <f t="shared" si="36"/>
        <v/>
      </c>
      <c r="BK35" s="438">
        <f t="shared" si="18"/>
        <v>0</v>
      </c>
      <c r="BL35" s="438" t="str">
        <f t="shared" si="36"/>
        <v/>
      </c>
      <c r="BM35" s="438">
        <f t="shared" si="19"/>
        <v>0</v>
      </c>
      <c r="BN35" s="438" t="str">
        <f t="shared" si="37"/>
        <v/>
      </c>
      <c r="BO35" s="438">
        <f t="shared" si="20"/>
        <v>0</v>
      </c>
      <c r="BP35" s="438" t="str">
        <f t="shared" si="37"/>
        <v/>
      </c>
      <c r="BQ35" s="438">
        <f t="shared" si="21"/>
        <v>0</v>
      </c>
      <c r="BR35" s="438" t="str">
        <f t="shared" si="37"/>
        <v/>
      </c>
      <c r="BV35" s="439">
        <f t="shared" si="38"/>
        <v>8</v>
      </c>
      <c r="BW35" s="439">
        <f>IF(BV35=8,'JSM Jahresdauerlinie'!$E$26,E35)</f>
        <v>9.9999999999999995E-7</v>
      </c>
      <c r="BX35" s="439">
        <f t="shared" si="39"/>
        <v>8</v>
      </c>
      <c r="BY35" s="439">
        <f>IF(BX35=8,'JSM Jahresdauerlinie'!$E$26,G35)</f>
        <v>9.9999999999999995E-7</v>
      </c>
      <c r="BZ35" s="439">
        <f t="shared" si="40"/>
        <v>8</v>
      </c>
      <c r="CA35" s="439">
        <f>IF(BZ35=8,'JSM Jahresdauerlinie'!$E$26,I35)</f>
        <v>9.9999999999999995E-7</v>
      </c>
      <c r="CB35" s="439">
        <f t="shared" si="41"/>
        <v>8</v>
      </c>
      <c r="CC35" s="439">
        <f>IF(CB35=8,'JSM Jahresdauerlinie'!$E$26,K35)</f>
        <v>9.9999999999999995E-7</v>
      </c>
      <c r="CD35" s="439">
        <f t="shared" si="42"/>
        <v>8</v>
      </c>
      <c r="CE35" s="439">
        <f>IF(CD35=8,'JSM Jahresdauerlinie'!$E$26,M35)</f>
        <v>9.9999999999999995E-7</v>
      </c>
      <c r="CF35" s="439">
        <f t="shared" si="43"/>
        <v>8</v>
      </c>
      <c r="CG35" s="439">
        <f>IF(CF35=8,'JSM Jahresdauerlinie'!$E$26,O35)</f>
        <v>9.9999999999999995E-7</v>
      </c>
      <c r="CH35" s="439">
        <f t="shared" si="44"/>
        <v>8</v>
      </c>
      <c r="CI35" s="439">
        <f>IF(CH35=8,'JSM Jahresdauerlinie'!$E$26,Q35)</f>
        <v>9.9999999999999995E-7</v>
      </c>
      <c r="CJ35" s="439">
        <f t="shared" si="45"/>
        <v>8</v>
      </c>
      <c r="CK35" s="439">
        <f>IF(CJ35=8,'JSM Jahresdauerlinie'!$E$26,S35)</f>
        <v>9.9999999999999995E-7</v>
      </c>
      <c r="CL35" s="439">
        <f t="shared" si="46"/>
        <v>8</v>
      </c>
      <c r="CM35" s="439">
        <f>IF(CL35=8,'JSM Jahresdauerlinie'!$E$26,U35)</f>
        <v>9.9999999999999995E-7</v>
      </c>
      <c r="CN35" s="439">
        <f t="shared" si="47"/>
        <v>8</v>
      </c>
      <c r="CO35" s="439">
        <f>IF(CN35=8,'JSM Jahresdauerlinie'!$E$26,W35)</f>
        <v>9.9999999999999995E-7</v>
      </c>
      <c r="CP35" s="439">
        <f t="shared" si="48"/>
        <v>8</v>
      </c>
      <c r="CQ35" s="439">
        <f>IF(CP35=8,'JSM Jahresdauerlinie'!$E$26,Y35)</f>
        <v>9.9999999999999995E-7</v>
      </c>
      <c r="CR35" s="439">
        <f t="shared" si="49"/>
        <v>8</v>
      </c>
      <c r="CS35" s="439">
        <f>IF(CR35=8,'JSM Jahresdauerlinie'!$E$26,AA35)</f>
        <v>9.9999999999999995E-7</v>
      </c>
      <c r="CT35" s="440"/>
      <c r="CW35" s="435">
        <f>IF(D35=8,'JSM Jahresdauerlinie'!$E$26,IF(BW35=0," ",BW35))</f>
        <v>9.9999999999999995E-7</v>
      </c>
      <c r="CX35" s="435">
        <f>IF(F35=8,'JSM Jahresdauerlinie'!$E$26,IF(BY35=0," ",BY35))</f>
        <v>9.9999999999999995E-7</v>
      </c>
      <c r="CY35" s="435">
        <f>IF(H35=8,'JSM Jahresdauerlinie'!$E$26,IF(CA35=0," ",CA35))</f>
        <v>9.9999999999999995E-7</v>
      </c>
      <c r="CZ35" s="435">
        <f>IF(J35=8,'JSM Jahresdauerlinie'!$E$26,IF(CC35=0," ",CC35))</f>
        <v>9.9999999999999995E-7</v>
      </c>
      <c r="DA35" s="435">
        <f>IF(L35=8,'JSM Jahresdauerlinie'!$E$26,IF(CE35=0," ",CE35))</f>
        <v>9.9999999999999995E-7</v>
      </c>
      <c r="DB35" s="435">
        <f>IF(N35=8,'JSM Jahresdauerlinie'!$E$26,IF(CG35=0," ",CG35))</f>
        <v>9.9999999999999995E-7</v>
      </c>
      <c r="DC35" s="435">
        <f>IF(P35=8,'JSM Jahresdauerlinie'!$E$26,IF(CI35=0," ",CI35))</f>
        <v>9.9999999999999995E-7</v>
      </c>
      <c r="DD35" s="435">
        <f>IF(R35=8,'JSM Jahresdauerlinie'!$E$26,IF(CK35=0," ",CK35))</f>
        <v>9.9999999999999995E-7</v>
      </c>
      <c r="DE35" s="435">
        <f>IF(T35=8,'JSM Jahresdauerlinie'!$E$26,IF(CM35=0," ",CM35))</f>
        <v>9.9999999999999995E-7</v>
      </c>
      <c r="DF35" s="435">
        <f>IF(V35=8,'JSM Jahresdauerlinie'!$E$26,IF(CO35=0," ",CO35))</f>
        <v>9.9999999999999995E-7</v>
      </c>
      <c r="DG35" s="435">
        <f>IF(X35=8,'JSM Jahresdauerlinie'!$E$26,IF(CQ35=0," ",CQ35))</f>
        <v>9.9999999999999995E-7</v>
      </c>
      <c r="DH35" s="435">
        <f>IF(Z35=8,'JSM Jahresdauerlinie'!$E$26,IF(CS35=0," ",CS35))</f>
        <v>9.9999999999999995E-7</v>
      </c>
      <c r="DJ35" s="441">
        <f t="shared" si="50"/>
        <v>9.9999999999999995E-7</v>
      </c>
      <c r="DK35" s="441">
        <f t="shared" si="51"/>
        <v>9.9999999999999995E-7</v>
      </c>
      <c r="DL35" s="441">
        <f t="shared" si="52"/>
        <v>9.9999999999999995E-7</v>
      </c>
      <c r="DM35" s="441">
        <f t="shared" si="53"/>
        <v>9.9999999999999995E-7</v>
      </c>
      <c r="DN35" s="441">
        <f t="shared" si="54"/>
        <v>9.9999999999999995E-7</v>
      </c>
      <c r="DO35" s="441">
        <f t="shared" si="55"/>
        <v>9.9999999999999995E-7</v>
      </c>
      <c r="DP35" s="441">
        <f t="shared" si="56"/>
        <v>9.9999999999999995E-7</v>
      </c>
      <c r="DQ35" s="441">
        <f t="shared" si="57"/>
        <v>9.9999999999999995E-7</v>
      </c>
      <c r="DR35" s="441">
        <f t="shared" si="58"/>
        <v>9.9999999999999995E-7</v>
      </c>
      <c r="DS35" s="441">
        <f t="shared" si="59"/>
        <v>9.9999999999999995E-7</v>
      </c>
      <c r="DT35" s="441">
        <f t="shared" si="60"/>
        <v>9.9999999999999995E-7</v>
      </c>
      <c r="DU35" s="441">
        <f t="shared" si="23"/>
        <v>9.9999999999999995E-7</v>
      </c>
      <c r="DX35" s="435">
        <f t="shared" si="61"/>
        <v>8</v>
      </c>
      <c r="DY35" s="435">
        <f t="shared" si="24"/>
        <v>8</v>
      </c>
      <c r="DZ35" s="435">
        <f t="shared" si="25"/>
        <v>8</v>
      </c>
      <c r="EA35" s="435">
        <f t="shared" si="26"/>
        <v>8</v>
      </c>
      <c r="EB35" s="435">
        <f t="shared" si="27"/>
        <v>8</v>
      </c>
      <c r="EC35" s="435">
        <f t="shared" si="28"/>
        <v>8</v>
      </c>
      <c r="ED35" s="435">
        <f t="shared" si="62"/>
        <v>8</v>
      </c>
      <c r="EE35" s="435">
        <f t="shared" si="29"/>
        <v>8</v>
      </c>
      <c r="EF35" s="435">
        <f t="shared" si="30"/>
        <v>8</v>
      </c>
      <c r="EG35" s="435">
        <f t="shared" si="31"/>
        <v>8</v>
      </c>
      <c r="EH35" s="435">
        <f t="shared" si="32"/>
        <v>8</v>
      </c>
      <c r="EI35" s="435">
        <f t="shared" si="33"/>
        <v>8</v>
      </c>
      <c r="EK35" s="441" t="str">
        <f t="shared" si="63"/>
        <v xml:space="preserve"> </v>
      </c>
      <c r="EL35" s="441" t="str">
        <f t="shared" si="64"/>
        <v xml:space="preserve"> </v>
      </c>
      <c r="EM35" s="441" t="str">
        <f t="shared" si="63"/>
        <v xml:space="preserve"> </v>
      </c>
      <c r="EN35" s="441" t="str">
        <f t="shared" si="64"/>
        <v xml:space="preserve"> </v>
      </c>
      <c r="EO35" s="441" t="str">
        <f t="shared" si="63"/>
        <v xml:space="preserve"> </v>
      </c>
      <c r="EP35" s="441" t="str">
        <f t="shared" si="64"/>
        <v xml:space="preserve"> </v>
      </c>
      <c r="EQ35" s="441" t="str">
        <f t="shared" si="63"/>
        <v xml:space="preserve"> </v>
      </c>
      <c r="ER35" s="441" t="str">
        <f t="shared" si="64"/>
        <v xml:space="preserve"> </v>
      </c>
      <c r="ES35" s="441" t="str">
        <f t="shared" si="63"/>
        <v xml:space="preserve"> </v>
      </c>
      <c r="ET35" s="441" t="str">
        <f t="shared" si="64"/>
        <v xml:space="preserve"> </v>
      </c>
      <c r="EU35" s="441" t="str">
        <f t="shared" si="63"/>
        <v xml:space="preserve"> </v>
      </c>
      <c r="EV35" s="441" t="str">
        <f t="shared" si="64"/>
        <v xml:space="preserve"> </v>
      </c>
      <c r="EW35" s="441" t="str">
        <f t="shared" si="63"/>
        <v xml:space="preserve"> </v>
      </c>
      <c r="EX35" s="441" t="str">
        <f t="shared" si="64"/>
        <v xml:space="preserve"> </v>
      </c>
      <c r="EY35" s="441" t="str">
        <f t="shared" si="63"/>
        <v xml:space="preserve"> </v>
      </c>
      <c r="EZ35" s="441" t="str">
        <f t="shared" si="64"/>
        <v xml:space="preserve"> </v>
      </c>
      <c r="FA35" s="441" t="str">
        <f t="shared" si="63"/>
        <v xml:space="preserve"> </v>
      </c>
      <c r="FB35" s="441" t="str">
        <f t="shared" si="64"/>
        <v xml:space="preserve"> </v>
      </c>
      <c r="FC35" s="441" t="str">
        <f t="shared" si="65"/>
        <v xml:space="preserve"> </v>
      </c>
      <c r="FD35" s="441" t="str">
        <f t="shared" si="66"/>
        <v xml:space="preserve"> </v>
      </c>
      <c r="FE35" s="441" t="str">
        <f t="shared" si="65"/>
        <v xml:space="preserve"> </v>
      </c>
      <c r="FF35" s="441" t="str">
        <f t="shared" si="66"/>
        <v xml:space="preserve"> </v>
      </c>
      <c r="FG35" s="437" t="str">
        <f t="shared" si="65"/>
        <v xml:space="preserve"> </v>
      </c>
      <c r="FH35" s="441" t="str">
        <f t="shared" si="66"/>
        <v xml:space="preserve"> </v>
      </c>
    </row>
    <row r="36" spans="2:164" ht="14.25" x14ac:dyDescent="0.2">
      <c r="B36" s="210">
        <v>5</v>
      </c>
      <c r="D36" s="740"/>
      <c r="E36" s="740"/>
      <c r="F36" s="745"/>
      <c r="G36" s="740"/>
      <c r="H36" s="740"/>
      <c r="I36" s="740"/>
      <c r="J36" s="740"/>
      <c r="K36" s="740"/>
      <c r="L36" s="740"/>
      <c r="M36" s="740"/>
      <c r="N36" s="740"/>
      <c r="O36" s="740"/>
      <c r="P36" s="740"/>
      <c r="Q36" s="740"/>
      <c r="R36" s="740"/>
      <c r="S36" s="740"/>
      <c r="T36" s="740"/>
      <c r="U36" s="740"/>
      <c r="V36" s="740"/>
      <c r="W36" s="740"/>
      <c r="X36" s="741"/>
      <c r="Y36" s="740"/>
      <c r="Z36" s="740"/>
      <c r="AA36" s="740"/>
      <c r="AF36" s="413" t="str">
        <f t="shared" si="34"/>
        <v xml:space="preserve"> </v>
      </c>
      <c r="AG36" s="413" t="str">
        <f t="shared" si="0"/>
        <v xml:space="preserve"> </v>
      </c>
      <c r="AH36" s="413" t="str">
        <f t="shared" si="1"/>
        <v xml:space="preserve"> </v>
      </c>
      <c r="AI36" s="413" t="str">
        <f t="shared" si="2"/>
        <v xml:space="preserve"> </v>
      </c>
      <c r="AJ36" s="413" t="str">
        <f t="shared" si="3"/>
        <v xml:space="preserve"> </v>
      </c>
      <c r="AK36" s="413" t="str">
        <f t="shared" si="4"/>
        <v xml:space="preserve"> </v>
      </c>
      <c r="AL36" s="413" t="str">
        <f t="shared" si="5"/>
        <v xml:space="preserve"> </v>
      </c>
      <c r="AM36" s="413" t="str">
        <f t="shared" si="6"/>
        <v xml:space="preserve"> </v>
      </c>
      <c r="AN36" s="413" t="str">
        <f t="shared" si="7"/>
        <v xml:space="preserve"> </v>
      </c>
      <c r="AO36" s="413" t="str">
        <f t="shared" si="8"/>
        <v xml:space="preserve"> </v>
      </c>
      <c r="AP36" s="413" t="str">
        <f t="shared" si="9"/>
        <v xml:space="preserve"> </v>
      </c>
      <c r="AQ36" s="413" t="str">
        <f t="shared" si="10"/>
        <v xml:space="preserve"> </v>
      </c>
      <c r="AU36" s="438">
        <f t="shared" si="35"/>
        <v>0</v>
      </c>
      <c r="AV36" s="438" t="str">
        <f t="shared" si="36"/>
        <v/>
      </c>
      <c r="AW36" s="438">
        <f t="shared" si="11"/>
        <v>0</v>
      </c>
      <c r="AX36" s="438" t="str">
        <f t="shared" si="36"/>
        <v/>
      </c>
      <c r="AY36" s="438">
        <f t="shared" si="12"/>
        <v>0</v>
      </c>
      <c r="AZ36" s="438" t="str">
        <f t="shared" si="36"/>
        <v/>
      </c>
      <c r="BA36" s="438">
        <f t="shared" si="13"/>
        <v>0</v>
      </c>
      <c r="BB36" s="438" t="str">
        <f t="shared" si="36"/>
        <v/>
      </c>
      <c r="BC36" s="438">
        <f t="shared" si="14"/>
        <v>0</v>
      </c>
      <c r="BD36" s="438" t="str">
        <f t="shared" si="36"/>
        <v/>
      </c>
      <c r="BE36" s="438">
        <f t="shared" si="15"/>
        <v>0</v>
      </c>
      <c r="BF36" s="438" t="str">
        <f t="shared" si="36"/>
        <v/>
      </c>
      <c r="BG36" s="438">
        <f t="shared" si="16"/>
        <v>0</v>
      </c>
      <c r="BH36" s="438" t="str">
        <f t="shared" si="36"/>
        <v/>
      </c>
      <c r="BI36" s="438">
        <f t="shared" si="17"/>
        <v>0</v>
      </c>
      <c r="BJ36" s="438" t="str">
        <f t="shared" si="36"/>
        <v/>
      </c>
      <c r="BK36" s="438">
        <f t="shared" si="18"/>
        <v>0</v>
      </c>
      <c r="BL36" s="438" t="str">
        <f t="shared" si="36"/>
        <v/>
      </c>
      <c r="BM36" s="438">
        <f t="shared" si="19"/>
        <v>0</v>
      </c>
      <c r="BN36" s="438" t="str">
        <f t="shared" si="37"/>
        <v/>
      </c>
      <c r="BO36" s="438">
        <f t="shared" si="20"/>
        <v>0</v>
      </c>
      <c r="BP36" s="438" t="str">
        <f t="shared" si="37"/>
        <v/>
      </c>
      <c r="BQ36" s="438">
        <f t="shared" si="21"/>
        <v>0</v>
      </c>
      <c r="BR36" s="438" t="str">
        <f t="shared" si="37"/>
        <v/>
      </c>
      <c r="BV36" s="439">
        <f t="shared" si="38"/>
        <v>8</v>
      </c>
      <c r="BW36" s="439">
        <f>IF(BV36=8,'JSM Jahresdauerlinie'!$E$26,E36)</f>
        <v>9.9999999999999995E-7</v>
      </c>
      <c r="BX36" s="439">
        <f t="shared" si="39"/>
        <v>8</v>
      </c>
      <c r="BY36" s="439">
        <f>IF(BX36=8,'JSM Jahresdauerlinie'!$E$26,G36)</f>
        <v>9.9999999999999995E-7</v>
      </c>
      <c r="BZ36" s="439">
        <f t="shared" si="40"/>
        <v>8</v>
      </c>
      <c r="CA36" s="439">
        <f>IF(BZ36=8,'JSM Jahresdauerlinie'!$E$26,I36)</f>
        <v>9.9999999999999995E-7</v>
      </c>
      <c r="CB36" s="439">
        <f t="shared" si="41"/>
        <v>8</v>
      </c>
      <c r="CC36" s="439">
        <f>IF(CB36=8,'JSM Jahresdauerlinie'!$E$26,K36)</f>
        <v>9.9999999999999995E-7</v>
      </c>
      <c r="CD36" s="439">
        <f t="shared" si="42"/>
        <v>8</v>
      </c>
      <c r="CE36" s="439">
        <f>IF(CD36=8,'JSM Jahresdauerlinie'!$E$26,M36)</f>
        <v>9.9999999999999995E-7</v>
      </c>
      <c r="CF36" s="439">
        <f t="shared" si="43"/>
        <v>8</v>
      </c>
      <c r="CG36" s="439">
        <f>IF(CF36=8,'JSM Jahresdauerlinie'!$E$26,O36)</f>
        <v>9.9999999999999995E-7</v>
      </c>
      <c r="CH36" s="439">
        <f t="shared" si="44"/>
        <v>8</v>
      </c>
      <c r="CI36" s="439">
        <f>IF(CH36=8,'JSM Jahresdauerlinie'!$E$26,Q36)</f>
        <v>9.9999999999999995E-7</v>
      </c>
      <c r="CJ36" s="439">
        <f t="shared" si="45"/>
        <v>8</v>
      </c>
      <c r="CK36" s="439">
        <f>IF(CJ36=8,'JSM Jahresdauerlinie'!$E$26,S36)</f>
        <v>9.9999999999999995E-7</v>
      </c>
      <c r="CL36" s="439">
        <f t="shared" si="46"/>
        <v>8</v>
      </c>
      <c r="CM36" s="439">
        <f>IF(CL36=8,'JSM Jahresdauerlinie'!$E$26,U36)</f>
        <v>9.9999999999999995E-7</v>
      </c>
      <c r="CN36" s="439">
        <f t="shared" si="47"/>
        <v>8</v>
      </c>
      <c r="CO36" s="439">
        <f>IF(CN36=8,'JSM Jahresdauerlinie'!$E$26,W36)</f>
        <v>9.9999999999999995E-7</v>
      </c>
      <c r="CP36" s="439">
        <f t="shared" si="48"/>
        <v>8</v>
      </c>
      <c r="CQ36" s="439">
        <f>IF(CP36=8,'JSM Jahresdauerlinie'!$E$26,Y36)</f>
        <v>9.9999999999999995E-7</v>
      </c>
      <c r="CR36" s="439">
        <f t="shared" si="49"/>
        <v>8</v>
      </c>
      <c r="CS36" s="439">
        <f>IF(CR36=8,'JSM Jahresdauerlinie'!$E$26,AA36)</f>
        <v>9.9999999999999995E-7</v>
      </c>
      <c r="CT36" s="440"/>
      <c r="CW36" s="435">
        <f>IF(D36=8,'JSM Jahresdauerlinie'!$E$26,IF(BW36=0," ",BW36))</f>
        <v>9.9999999999999995E-7</v>
      </c>
      <c r="CX36" s="435">
        <f>IF(F36=8,'JSM Jahresdauerlinie'!$E$26,IF(BY36=0," ",BY36))</f>
        <v>9.9999999999999995E-7</v>
      </c>
      <c r="CY36" s="435">
        <f>IF(H36=8,'JSM Jahresdauerlinie'!$E$26,IF(CA36=0," ",CA36))</f>
        <v>9.9999999999999995E-7</v>
      </c>
      <c r="CZ36" s="435">
        <f>IF(J36=8,'JSM Jahresdauerlinie'!$E$26,IF(CC36=0," ",CC36))</f>
        <v>9.9999999999999995E-7</v>
      </c>
      <c r="DA36" s="435">
        <f>IF(L36=8,'JSM Jahresdauerlinie'!$E$26,IF(CE36=0," ",CE36))</f>
        <v>9.9999999999999995E-7</v>
      </c>
      <c r="DB36" s="435">
        <f>IF(N36=8,'JSM Jahresdauerlinie'!$E$26,IF(CG36=0," ",CG36))</f>
        <v>9.9999999999999995E-7</v>
      </c>
      <c r="DC36" s="435">
        <f>IF(P36=8,'JSM Jahresdauerlinie'!$E$26,IF(CI36=0," ",CI36))</f>
        <v>9.9999999999999995E-7</v>
      </c>
      <c r="DD36" s="435">
        <f>IF(R36=8,'JSM Jahresdauerlinie'!$E$26,IF(CK36=0," ",CK36))</f>
        <v>9.9999999999999995E-7</v>
      </c>
      <c r="DE36" s="435">
        <f>IF(T36=8,'JSM Jahresdauerlinie'!$E$26,IF(CM36=0," ",CM36))</f>
        <v>9.9999999999999995E-7</v>
      </c>
      <c r="DF36" s="435">
        <f>IF(V36=8,'JSM Jahresdauerlinie'!$E$26,IF(CO36=0," ",CO36))</f>
        <v>9.9999999999999995E-7</v>
      </c>
      <c r="DG36" s="435">
        <f>IF(X36=8,'JSM Jahresdauerlinie'!$E$26,IF(CQ36=0," ",CQ36))</f>
        <v>9.9999999999999995E-7</v>
      </c>
      <c r="DH36" s="435">
        <f>IF(Z36=8,'JSM Jahresdauerlinie'!$E$26,IF(CS36=0," ",CS36))</f>
        <v>9.9999999999999995E-7</v>
      </c>
      <c r="DJ36" s="441">
        <f t="shared" si="50"/>
        <v>9.9999999999999995E-7</v>
      </c>
      <c r="DK36" s="441">
        <f t="shared" si="51"/>
        <v>9.9999999999999995E-7</v>
      </c>
      <c r="DL36" s="441">
        <f t="shared" si="52"/>
        <v>9.9999999999999995E-7</v>
      </c>
      <c r="DM36" s="441">
        <f t="shared" si="53"/>
        <v>9.9999999999999995E-7</v>
      </c>
      <c r="DN36" s="441">
        <f t="shared" si="54"/>
        <v>9.9999999999999995E-7</v>
      </c>
      <c r="DO36" s="441">
        <f t="shared" si="55"/>
        <v>9.9999999999999995E-7</v>
      </c>
      <c r="DP36" s="441">
        <f t="shared" si="56"/>
        <v>9.9999999999999995E-7</v>
      </c>
      <c r="DQ36" s="441">
        <f t="shared" si="57"/>
        <v>9.9999999999999995E-7</v>
      </c>
      <c r="DR36" s="441">
        <f t="shared" si="58"/>
        <v>9.9999999999999995E-7</v>
      </c>
      <c r="DS36" s="441">
        <f t="shared" si="59"/>
        <v>9.9999999999999995E-7</v>
      </c>
      <c r="DT36" s="441">
        <f t="shared" si="60"/>
        <v>9.9999999999999995E-7</v>
      </c>
      <c r="DU36" s="441">
        <f t="shared" si="23"/>
        <v>9.9999999999999995E-7</v>
      </c>
      <c r="DX36" s="435">
        <f t="shared" si="61"/>
        <v>8</v>
      </c>
      <c r="DY36" s="435">
        <f t="shared" si="24"/>
        <v>8</v>
      </c>
      <c r="DZ36" s="435">
        <f t="shared" si="25"/>
        <v>8</v>
      </c>
      <c r="EA36" s="435">
        <f t="shared" si="26"/>
        <v>8</v>
      </c>
      <c r="EB36" s="435">
        <f t="shared" si="27"/>
        <v>8</v>
      </c>
      <c r="EC36" s="435">
        <f t="shared" si="28"/>
        <v>8</v>
      </c>
      <c r="ED36" s="435">
        <f t="shared" si="62"/>
        <v>8</v>
      </c>
      <c r="EE36" s="435">
        <f t="shared" si="29"/>
        <v>8</v>
      </c>
      <c r="EF36" s="435">
        <f t="shared" si="30"/>
        <v>8</v>
      </c>
      <c r="EG36" s="435">
        <f t="shared" si="31"/>
        <v>8</v>
      </c>
      <c r="EH36" s="435">
        <f t="shared" si="32"/>
        <v>8</v>
      </c>
      <c r="EI36" s="435">
        <f t="shared" si="33"/>
        <v>8</v>
      </c>
      <c r="EK36" s="441" t="str">
        <f t="shared" si="63"/>
        <v xml:space="preserve"> </v>
      </c>
      <c r="EL36" s="441" t="str">
        <f t="shared" si="64"/>
        <v xml:space="preserve"> </v>
      </c>
      <c r="EM36" s="441" t="str">
        <f t="shared" si="63"/>
        <v xml:space="preserve"> </v>
      </c>
      <c r="EN36" s="441" t="str">
        <f t="shared" si="64"/>
        <v xml:space="preserve"> </v>
      </c>
      <c r="EO36" s="441" t="str">
        <f t="shared" si="63"/>
        <v xml:space="preserve"> </v>
      </c>
      <c r="EP36" s="441" t="str">
        <f t="shared" si="64"/>
        <v xml:space="preserve"> </v>
      </c>
      <c r="EQ36" s="441" t="str">
        <f t="shared" si="63"/>
        <v xml:space="preserve"> </v>
      </c>
      <c r="ER36" s="441" t="str">
        <f t="shared" si="64"/>
        <v xml:space="preserve"> </v>
      </c>
      <c r="ES36" s="441" t="str">
        <f t="shared" si="63"/>
        <v xml:space="preserve"> </v>
      </c>
      <c r="ET36" s="441" t="str">
        <f t="shared" si="64"/>
        <v xml:space="preserve"> </v>
      </c>
      <c r="EU36" s="441" t="str">
        <f t="shared" si="63"/>
        <v xml:space="preserve"> </v>
      </c>
      <c r="EV36" s="441" t="str">
        <f t="shared" si="64"/>
        <v xml:space="preserve"> </v>
      </c>
      <c r="EW36" s="441" t="str">
        <f t="shared" si="63"/>
        <v xml:space="preserve"> </v>
      </c>
      <c r="EX36" s="441" t="str">
        <f t="shared" si="64"/>
        <v xml:space="preserve"> </v>
      </c>
      <c r="EY36" s="441" t="str">
        <f t="shared" si="63"/>
        <v xml:space="preserve"> </v>
      </c>
      <c r="EZ36" s="441" t="str">
        <f t="shared" si="64"/>
        <v xml:space="preserve"> </v>
      </c>
      <c r="FA36" s="441" t="str">
        <f t="shared" si="63"/>
        <v xml:space="preserve"> </v>
      </c>
      <c r="FB36" s="441" t="str">
        <f t="shared" si="64"/>
        <v xml:space="preserve"> </v>
      </c>
      <c r="FC36" s="441" t="str">
        <f t="shared" si="65"/>
        <v xml:space="preserve"> </v>
      </c>
      <c r="FD36" s="441" t="str">
        <f t="shared" si="66"/>
        <v xml:space="preserve"> </v>
      </c>
      <c r="FE36" s="441" t="str">
        <f t="shared" si="65"/>
        <v xml:space="preserve"> </v>
      </c>
      <c r="FF36" s="441" t="str">
        <f t="shared" si="66"/>
        <v xml:space="preserve"> </v>
      </c>
      <c r="FG36" s="437" t="str">
        <f t="shared" si="65"/>
        <v xml:space="preserve"> </v>
      </c>
      <c r="FH36" s="441" t="str">
        <f t="shared" si="66"/>
        <v xml:space="preserve"> </v>
      </c>
    </row>
    <row r="37" spans="2:164" ht="14.25" x14ac:dyDescent="0.2">
      <c r="B37" s="655">
        <v>6</v>
      </c>
      <c r="C37" s="223"/>
      <c r="D37" s="740"/>
      <c r="E37" s="740"/>
      <c r="F37" s="745"/>
      <c r="G37" s="740"/>
      <c r="H37" s="740"/>
      <c r="I37" s="740"/>
      <c r="J37" s="740"/>
      <c r="K37" s="740"/>
      <c r="L37" s="740"/>
      <c r="M37" s="740"/>
      <c r="N37" s="740"/>
      <c r="O37" s="740"/>
      <c r="P37" s="740"/>
      <c r="Q37" s="740"/>
      <c r="R37" s="740"/>
      <c r="S37" s="740"/>
      <c r="T37" s="740"/>
      <c r="U37" s="740"/>
      <c r="V37" s="740"/>
      <c r="W37" s="740"/>
      <c r="X37" s="741"/>
      <c r="Y37" s="740"/>
      <c r="Z37" s="740"/>
      <c r="AA37" s="740"/>
      <c r="AB37" s="223"/>
      <c r="AC37" s="330"/>
      <c r="AD37" s="330"/>
      <c r="AF37" s="413" t="str">
        <f t="shared" si="34"/>
        <v xml:space="preserve"> </v>
      </c>
      <c r="AG37" s="413" t="str">
        <f t="shared" si="0"/>
        <v xml:space="preserve"> </v>
      </c>
      <c r="AH37" s="413" t="str">
        <f t="shared" si="1"/>
        <v xml:space="preserve"> </v>
      </c>
      <c r="AI37" s="413" t="str">
        <f t="shared" si="2"/>
        <v xml:space="preserve"> </v>
      </c>
      <c r="AJ37" s="413" t="str">
        <f t="shared" si="3"/>
        <v xml:space="preserve"> </v>
      </c>
      <c r="AK37" s="413" t="str">
        <f t="shared" si="4"/>
        <v xml:space="preserve"> </v>
      </c>
      <c r="AL37" s="413" t="str">
        <f t="shared" si="5"/>
        <v xml:space="preserve"> </v>
      </c>
      <c r="AM37" s="413" t="str">
        <f t="shared" si="6"/>
        <v xml:space="preserve"> </v>
      </c>
      <c r="AN37" s="413" t="str">
        <f t="shared" si="7"/>
        <v xml:space="preserve"> </v>
      </c>
      <c r="AO37" s="413" t="str">
        <f t="shared" si="8"/>
        <v xml:space="preserve"> </v>
      </c>
      <c r="AP37" s="413" t="str">
        <f t="shared" si="9"/>
        <v xml:space="preserve"> </v>
      </c>
      <c r="AQ37" s="413" t="str">
        <f t="shared" si="10"/>
        <v xml:space="preserve"> </v>
      </c>
      <c r="AU37" s="438">
        <f t="shared" si="35"/>
        <v>0</v>
      </c>
      <c r="AV37" s="438" t="str">
        <f t="shared" si="36"/>
        <v/>
      </c>
      <c r="AW37" s="438">
        <f t="shared" si="11"/>
        <v>0</v>
      </c>
      <c r="AX37" s="438" t="str">
        <f t="shared" si="36"/>
        <v/>
      </c>
      <c r="AY37" s="438">
        <f t="shared" si="12"/>
        <v>0</v>
      </c>
      <c r="AZ37" s="438" t="str">
        <f t="shared" si="36"/>
        <v/>
      </c>
      <c r="BA37" s="438">
        <f t="shared" si="13"/>
        <v>0</v>
      </c>
      <c r="BB37" s="438" t="str">
        <f t="shared" si="36"/>
        <v/>
      </c>
      <c r="BC37" s="438">
        <f t="shared" si="14"/>
        <v>0</v>
      </c>
      <c r="BD37" s="438" t="str">
        <f t="shared" si="36"/>
        <v/>
      </c>
      <c r="BE37" s="438">
        <f t="shared" si="15"/>
        <v>0</v>
      </c>
      <c r="BF37" s="438" t="str">
        <f t="shared" si="36"/>
        <v/>
      </c>
      <c r="BG37" s="438">
        <f t="shared" si="16"/>
        <v>0</v>
      </c>
      <c r="BH37" s="438" t="str">
        <f t="shared" si="36"/>
        <v/>
      </c>
      <c r="BI37" s="438">
        <f t="shared" si="17"/>
        <v>0</v>
      </c>
      <c r="BJ37" s="438" t="str">
        <f t="shared" si="36"/>
        <v/>
      </c>
      <c r="BK37" s="438">
        <f t="shared" si="18"/>
        <v>0</v>
      </c>
      <c r="BL37" s="438" t="str">
        <f t="shared" si="36"/>
        <v/>
      </c>
      <c r="BM37" s="438">
        <f t="shared" si="19"/>
        <v>0</v>
      </c>
      <c r="BN37" s="438" t="str">
        <f t="shared" si="37"/>
        <v/>
      </c>
      <c r="BO37" s="438">
        <f t="shared" si="20"/>
        <v>0</v>
      </c>
      <c r="BP37" s="438" t="str">
        <f t="shared" si="37"/>
        <v/>
      </c>
      <c r="BQ37" s="438">
        <f t="shared" si="21"/>
        <v>0</v>
      </c>
      <c r="BR37" s="438" t="str">
        <f t="shared" si="37"/>
        <v/>
      </c>
      <c r="BV37" s="439">
        <f t="shared" si="38"/>
        <v>8</v>
      </c>
      <c r="BW37" s="439">
        <f>IF(BV37=8,'JSM Jahresdauerlinie'!$E$26,E37)</f>
        <v>9.9999999999999995E-7</v>
      </c>
      <c r="BX37" s="439">
        <f t="shared" si="39"/>
        <v>8</v>
      </c>
      <c r="BY37" s="439">
        <f>IF(BX37=8,'JSM Jahresdauerlinie'!$E$26,G37)</f>
        <v>9.9999999999999995E-7</v>
      </c>
      <c r="BZ37" s="439">
        <f t="shared" si="40"/>
        <v>8</v>
      </c>
      <c r="CA37" s="439">
        <f>IF(BZ37=8,'JSM Jahresdauerlinie'!$E$26,I37)</f>
        <v>9.9999999999999995E-7</v>
      </c>
      <c r="CB37" s="439">
        <f t="shared" si="41"/>
        <v>8</v>
      </c>
      <c r="CC37" s="439">
        <f>IF(CB37=8,'JSM Jahresdauerlinie'!$E$26,K37)</f>
        <v>9.9999999999999995E-7</v>
      </c>
      <c r="CD37" s="439">
        <f t="shared" si="42"/>
        <v>8</v>
      </c>
      <c r="CE37" s="439">
        <f>IF(CD37=8,'JSM Jahresdauerlinie'!$E$26,M37)</f>
        <v>9.9999999999999995E-7</v>
      </c>
      <c r="CF37" s="439">
        <f t="shared" si="43"/>
        <v>8</v>
      </c>
      <c r="CG37" s="439">
        <f>IF(CF37=8,'JSM Jahresdauerlinie'!$E$26,O37)</f>
        <v>9.9999999999999995E-7</v>
      </c>
      <c r="CH37" s="439">
        <f t="shared" si="44"/>
        <v>8</v>
      </c>
      <c r="CI37" s="439">
        <f>IF(CH37=8,'JSM Jahresdauerlinie'!$E$26,Q37)</f>
        <v>9.9999999999999995E-7</v>
      </c>
      <c r="CJ37" s="439">
        <f t="shared" si="45"/>
        <v>8</v>
      </c>
      <c r="CK37" s="439">
        <f>IF(CJ37=8,'JSM Jahresdauerlinie'!$E$26,S37)</f>
        <v>9.9999999999999995E-7</v>
      </c>
      <c r="CL37" s="439">
        <f t="shared" si="46"/>
        <v>8</v>
      </c>
      <c r="CM37" s="439">
        <f>IF(CL37=8,'JSM Jahresdauerlinie'!$E$26,U37)</f>
        <v>9.9999999999999995E-7</v>
      </c>
      <c r="CN37" s="439">
        <f t="shared" si="47"/>
        <v>8</v>
      </c>
      <c r="CO37" s="439">
        <f>IF(CN37=8,'JSM Jahresdauerlinie'!$E$26,W37)</f>
        <v>9.9999999999999995E-7</v>
      </c>
      <c r="CP37" s="439">
        <f t="shared" si="48"/>
        <v>8</v>
      </c>
      <c r="CQ37" s="439">
        <f>IF(CP37=8,'JSM Jahresdauerlinie'!$E$26,Y37)</f>
        <v>9.9999999999999995E-7</v>
      </c>
      <c r="CR37" s="439">
        <f t="shared" si="49"/>
        <v>8</v>
      </c>
      <c r="CS37" s="439">
        <f>IF(CR37=8,'JSM Jahresdauerlinie'!$E$26,AA37)</f>
        <v>9.9999999999999995E-7</v>
      </c>
      <c r="CT37" s="440"/>
      <c r="CW37" s="435">
        <f>IF(D37=8,'JSM Jahresdauerlinie'!$E$26,IF(BW37=0," ",BW37))</f>
        <v>9.9999999999999995E-7</v>
      </c>
      <c r="CX37" s="435">
        <f>IF(F37=8,'JSM Jahresdauerlinie'!$E$26,IF(BY37=0," ",BY37))</f>
        <v>9.9999999999999995E-7</v>
      </c>
      <c r="CY37" s="435">
        <f>IF(H37=8,'JSM Jahresdauerlinie'!$E$26,IF(CA37=0," ",CA37))</f>
        <v>9.9999999999999995E-7</v>
      </c>
      <c r="CZ37" s="435">
        <f>IF(J37=8,'JSM Jahresdauerlinie'!$E$26,IF(CC37=0," ",CC37))</f>
        <v>9.9999999999999995E-7</v>
      </c>
      <c r="DA37" s="435">
        <f>IF(L37=8,'JSM Jahresdauerlinie'!$E$26,IF(CE37=0," ",CE37))</f>
        <v>9.9999999999999995E-7</v>
      </c>
      <c r="DB37" s="435">
        <f>IF(N37=8,'JSM Jahresdauerlinie'!$E$26,IF(CG37=0," ",CG37))</f>
        <v>9.9999999999999995E-7</v>
      </c>
      <c r="DC37" s="435">
        <f>IF(P37=8,'JSM Jahresdauerlinie'!$E$26,IF(CI37=0," ",CI37))</f>
        <v>9.9999999999999995E-7</v>
      </c>
      <c r="DD37" s="435">
        <f>IF(R37=8,'JSM Jahresdauerlinie'!$E$26,IF(CK37=0," ",CK37))</f>
        <v>9.9999999999999995E-7</v>
      </c>
      <c r="DE37" s="435">
        <f>IF(T37=8,'JSM Jahresdauerlinie'!$E$26,IF(CM37=0," ",CM37))</f>
        <v>9.9999999999999995E-7</v>
      </c>
      <c r="DF37" s="435">
        <f>IF(V37=8,'JSM Jahresdauerlinie'!$E$26,IF(CO37=0," ",CO37))</f>
        <v>9.9999999999999995E-7</v>
      </c>
      <c r="DG37" s="435">
        <f>IF(X37=8,'JSM Jahresdauerlinie'!$E$26,IF(CQ37=0," ",CQ37))</f>
        <v>9.9999999999999995E-7</v>
      </c>
      <c r="DH37" s="435">
        <f>IF(Z37=8,'JSM Jahresdauerlinie'!$E$26,IF(CS37=0," ",CS37))</f>
        <v>9.9999999999999995E-7</v>
      </c>
      <c r="DJ37" s="441">
        <f t="shared" si="50"/>
        <v>9.9999999999999995E-7</v>
      </c>
      <c r="DK37" s="441">
        <f t="shared" si="51"/>
        <v>9.9999999999999995E-7</v>
      </c>
      <c r="DL37" s="441">
        <f t="shared" si="52"/>
        <v>9.9999999999999995E-7</v>
      </c>
      <c r="DM37" s="441">
        <f t="shared" si="53"/>
        <v>9.9999999999999995E-7</v>
      </c>
      <c r="DN37" s="441">
        <f t="shared" si="54"/>
        <v>9.9999999999999995E-7</v>
      </c>
      <c r="DO37" s="441">
        <f t="shared" si="55"/>
        <v>9.9999999999999995E-7</v>
      </c>
      <c r="DP37" s="441">
        <f t="shared" si="56"/>
        <v>9.9999999999999995E-7</v>
      </c>
      <c r="DQ37" s="441">
        <f t="shared" si="57"/>
        <v>9.9999999999999995E-7</v>
      </c>
      <c r="DR37" s="441">
        <f t="shared" si="58"/>
        <v>9.9999999999999995E-7</v>
      </c>
      <c r="DS37" s="441">
        <f t="shared" si="59"/>
        <v>9.9999999999999995E-7</v>
      </c>
      <c r="DT37" s="441">
        <f t="shared" si="60"/>
        <v>9.9999999999999995E-7</v>
      </c>
      <c r="DU37" s="441">
        <f t="shared" si="23"/>
        <v>9.9999999999999995E-7</v>
      </c>
      <c r="DX37" s="435">
        <f t="shared" si="61"/>
        <v>8</v>
      </c>
      <c r="DY37" s="435">
        <f t="shared" si="24"/>
        <v>8</v>
      </c>
      <c r="DZ37" s="435">
        <f t="shared" si="25"/>
        <v>8</v>
      </c>
      <c r="EA37" s="435">
        <f t="shared" si="26"/>
        <v>8</v>
      </c>
      <c r="EB37" s="435">
        <f t="shared" si="27"/>
        <v>8</v>
      </c>
      <c r="EC37" s="435">
        <f t="shared" si="28"/>
        <v>8</v>
      </c>
      <c r="ED37" s="435">
        <f t="shared" si="62"/>
        <v>8</v>
      </c>
      <c r="EE37" s="435">
        <f t="shared" si="29"/>
        <v>8</v>
      </c>
      <c r="EF37" s="435">
        <f t="shared" si="30"/>
        <v>8</v>
      </c>
      <c r="EG37" s="435">
        <f t="shared" si="31"/>
        <v>8</v>
      </c>
      <c r="EH37" s="435">
        <f t="shared" si="32"/>
        <v>8</v>
      </c>
      <c r="EI37" s="435">
        <f t="shared" si="33"/>
        <v>8</v>
      </c>
      <c r="EK37" s="441" t="str">
        <f t="shared" si="63"/>
        <v xml:space="preserve"> </v>
      </c>
      <c r="EL37" s="441" t="str">
        <f t="shared" si="64"/>
        <v xml:space="preserve"> </v>
      </c>
      <c r="EM37" s="441" t="str">
        <f t="shared" si="63"/>
        <v xml:space="preserve"> </v>
      </c>
      <c r="EN37" s="441" t="str">
        <f t="shared" si="64"/>
        <v xml:space="preserve"> </v>
      </c>
      <c r="EO37" s="441" t="str">
        <f t="shared" si="63"/>
        <v xml:space="preserve"> </v>
      </c>
      <c r="EP37" s="441" t="str">
        <f t="shared" si="64"/>
        <v xml:space="preserve"> </v>
      </c>
      <c r="EQ37" s="441" t="str">
        <f t="shared" si="63"/>
        <v xml:space="preserve"> </v>
      </c>
      <c r="ER37" s="441" t="str">
        <f t="shared" si="64"/>
        <v xml:space="preserve"> </v>
      </c>
      <c r="ES37" s="441" t="str">
        <f t="shared" si="63"/>
        <v xml:space="preserve"> </v>
      </c>
      <c r="ET37" s="441" t="str">
        <f t="shared" si="64"/>
        <v xml:space="preserve"> </v>
      </c>
      <c r="EU37" s="441" t="str">
        <f t="shared" si="63"/>
        <v xml:space="preserve"> </v>
      </c>
      <c r="EV37" s="441" t="str">
        <f t="shared" si="64"/>
        <v xml:space="preserve"> </v>
      </c>
      <c r="EW37" s="441" t="str">
        <f t="shared" si="63"/>
        <v xml:space="preserve"> </v>
      </c>
      <c r="EX37" s="441" t="str">
        <f t="shared" si="64"/>
        <v xml:space="preserve"> </v>
      </c>
      <c r="EY37" s="441" t="str">
        <f t="shared" si="63"/>
        <v xml:space="preserve"> </v>
      </c>
      <c r="EZ37" s="441" t="str">
        <f t="shared" si="64"/>
        <v xml:space="preserve"> </v>
      </c>
      <c r="FA37" s="441" t="str">
        <f t="shared" si="63"/>
        <v xml:space="preserve"> </v>
      </c>
      <c r="FB37" s="441" t="str">
        <f t="shared" si="64"/>
        <v xml:space="preserve"> </v>
      </c>
      <c r="FC37" s="441" t="str">
        <f t="shared" si="65"/>
        <v xml:space="preserve"> </v>
      </c>
      <c r="FD37" s="441" t="str">
        <f t="shared" si="66"/>
        <v xml:space="preserve"> </v>
      </c>
      <c r="FE37" s="441" t="str">
        <f t="shared" si="65"/>
        <v xml:space="preserve"> </v>
      </c>
      <c r="FF37" s="441" t="str">
        <f t="shared" si="66"/>
        <v xml:space="preserve"> </v>
      </c>
      <c r="FG37" s="437" t="str">
        <f t="shared" si="65"/>
        <v xml:space="preserve"> </v>
      </c>
      <c r="FH37" s="441" t="str">
        <f t="shared" si="66"/>
        <v xml:space="preserve"> </v>
      </c>
    </row>
    <row r="38" spans="2:164" ht="14.25" x14ac:dyDescent="0.2">
      <c r="B38" s="210">
        <v>7</v>
      </c>
      <c r="D38" s="740"/>
      <c r="E38" s="740"/>
      <c r="F38" s="745"/>
      <c r="G38" s="740"/>
      <c r="H38" s="740"/>
      <c r="I38" s="740"/>
      <c r="J38" s="740"/>
      <c r="K38" s="740"/>
      <c r="L38" s="740"/>
      <c r="M38" s="740"/>
      <c r="N38" s="740"/>
      <c r="O38" s="740"/>
      <c r="P38" s="740"/>
      <c r="Q38" s="740"/>
      <c r="R38" s="740"/>
      <c r="S38" s="740"/>
      <c r="T38" s="740"/>
      <c r="U38" s="740"/>
      <c r="V38" s="740"/>
      <c r="W38" s="740"/>
      <c r="X38" s="741"/>
      <c r="Y38" s="740"/>
      <c r="Z38" s="740"/>
      <c r="AA38" s="740"/>
      <c r="AF38" s="413" t="str">
        <f t="shared" si="34"/>
        <v xml:space="preserve"> </v>
      </c>
      <c r="AG38" s="413" t="str">
        <f t="shared" si="0"/>
        <v xml:space="preserve"> </v>
      </c>
      <c r="AH38" s="413" t="str">
        <f t="shared" si="1"/>
        <v xml:space="preserve"> </v>
      </c>
      <c r="AI38" s="413" t="str">
        <f t="shared" si="2"/>
        <v xml:space="preserve"> </v>
      </c>
      <c r="AJ38" s="413" t="str">
        <f t="shared" si="3"/>
        <v xml:space="preserve"> </v>
      </c>
      <c r="AK38" s="413" t="str">
        <f t="shared" si="4"/>
        <v xml:space="preserve"> </v>
      </c>
      <c r="AL38" s="413" t="str">
        <f t="shared" si="5"/>
        <v xml:space="preserve"> </v>
      </c>
      <c r="AM38" s="413" t="str">
        <f t="shared" si="6"/>
        <v xml:space="preserve"> </v>
      </c>
      <c r="AN38" s="413" t="str">
        <f t="shared" si="7"/>
        <v xml:space="preserve"> </v>
      </c>
      <c r="AO38" s="413" t="str">
        <f t="shared" si="8"/>
        <v xml:space="preserve"> </v>
      </c>
      <c r="AP38" s="413" t="str">
        <f t="shared" si="9"/>
        <v xml:space="preserve"> </v>
      </c>
      <c r="AQ38" s="413" t="str">
        <f t="shared" si="10"/>
        <v xml:space="preserve"> </v>
      </c>
      <c r="AU38" s="438">
        <f t="shared" si="35"/>
        <v>0</v>
      </c>
      <c r="AV38" s="438" t="str">
        <f t="shared" si="36"/>
        <v/>
      </c>
      <c r="AW38" s="438">
        <f t="shared" si="11"/>
        <v>0</v>
      </c>
      <c r="AX38" s="438" t="str">
        <f t="shared" si="36"/>
        <v/>
      </c>
      <c r="AY38" s="438">
        <f t="shared" si="12"/>
        <v>0</v>
      </c>
      <c r="AZ38" s="438" t="str">
        <f t="shared" si="36"/>
        <v/>
      </c>
      <c r="BA38" s="438">
        <f t="shared" si="13"/>
        <v>0</v>
      </c>
      <c r="BB38" s="438" t="str">
        <f t="shared" si="36"/>
        <v/>
      </c>
      <c r="BC38" s="438">
        <f t="shared" si="14"/>
        <v>0</v>
      </c>
      <c r="BD38" s="438" t="str">
        <f t="shared" si="36"/>
        <v/>
      </c>
      <c r="BE38" s="438">
        <f t="shared" si="15"/>
        <v>0</v>
      </c>
      <c r="BF38" s="438" t="str">
        <f t="shared" si="36"/>
        <v/>
      </c>
      <c r="BG38" s="438">
        <f t="shared" si="16"/>
        <v>0</v>
      </c>
      <c r="BH38" s="438" t="str">
        <f t="shared" si="36"/>
        <v/>
      </c>
      <c r="BI38" s="438">
        <f t="shared" si="17"/>
        <v>0</v>
      </c>
      <c r="BJ38" s="438" t="str">
        <f t="shared" si="36"/>
        <v/>
      </c>
      <c r="BK38" s="438">
        <f t="shared" si="18"/>
        <v>0</v>
      </c>
      <c r="BL38" s="438" t="str">
        <f t="shared" si="36"/>
        <v/>
      </c>
      <c r="BM38" s="438">
        <f t="shared" si="19"/>
        <v>0</v>
      </c>
      <c r="BN38" s="438" t="str">
        <f t="shared" si="37"/>
        <v/>
      </c>
      <c r="BO38" s="438">
        <f t="shared" si="20"/>
        <v>0</v>
      </c>
      <c r="BP38" s="438" t="str">
        <f t="shared" si="37"/>
        <v/>
      </c>
      <c r="BQ38" s="438">
        <f t="shared" si="21"/>
        <v>0</v>
      </c>
      <c r="BR38" s="438" t="str">
        <f t="shared" si="37"/>
        <v/>
      </c>
      <c r="BV38" s="439">
        <f t="shared" si="38"/>
        <v>8</v>
      </c>
      <c r="BW38" s="439">
        <f>IF(BV38=8,'JSM Jahresdauerlinie'!$E$26,E38)</f>
        <v>9.9999999999999995E-7</v>
      </c>
      <c r="BX38" s="439">
        <f t="shared" si="39"/>
        <v>8</v>
      </c>
      <c r="BY38" s="439">
        <f>IF(BX38=8,'JSM Jahresdauerlinie'!$E$26,G38)</f>
        <v>9.9999999999999995E-7</v>
      </c>
      <c r="BZ38" s="439">
        <f t="shared" si="40"/>
        <v>8</v>
      </c>
      <c r="CA38" s="439">
        <f>IF(BZ38=8,'JSM Jahresdauerlinie'!$E$26,I38)</f>
        <v>9.9999999999999995E-7</v>
      </c>
      <c r="CB38" s="439">
        <f t="shared" si="41"/>
        <v>8</v>
      </c>
      <c r="CC38" s="439">
        <f>IF(CB38=8,'JSM Jahresdauerlinie'!$E$26,K38)</f>
        <v>9.9999999999999995E-7</v>
      </c>
      <c r="CD38" s="439">
        <f t="shared" si="42"/>
        <v>8</v>
      </c>
      <c r="CE38" s="439">
        <f>IF(CD38=8,'JSM Jahresdauerlinie'!$E$26,M38)</f>
        <v>9.9999999999999995E-7</v>
      </c>
      <c r="CF38" s="439">
        <f t="shared" si="43"/>
        <v>8</v>
      </c>
      <c r="CG38" s="439">
        <f>IF(CF38=8,'JSM Jahresdauerlinie'!$E$26,O38)</f>
        <v>9.9999999999999995E-7</v>
      </c>
      <c r="CH38" s="439">
        <f t="shared" si="44"/>
        <v>8</v>
      </c>
      <c r="CI38" s="439">
        <f>IF(CH38=8,'JSM Jahresdauerlinie'!$E$26,Q38)</f>
        <v>9.9999999999999995E-7</v>
      </c>
      <c r="CJ38" s="439">
        <f t="shared" si="45"/>
        <v>8</v>
      </c>
      <c r="CK38" s="439">
        <f>IF(CJ38=8,'JSM Jahresdauerlinie'!$E$26,S38)</f>
        <v>9.9999999999999995E-7</v>
      </c>
      <c r="CL38" s="439">
        <f t="shared" si="46"/>
        <v>8</v>
      </c>
      <c r="CM38" s="439">
        <f>IF(CL38=8,'JSM Jahresdauerlinie'!$E$26,U38)</f>
        <v>9.9999999999999995E-7</v>
      </c>
      <c r="CN38" s="439">
        <f t="shared" si="47"/>
        <v>8</v>
      </c>
      <c r="CO38" s="439">
        <f>IF(CN38=8,'JSM Jahresdauerlinie'!$E$26,W38)</f>
        <v>9.9999999999999995E-7</v>
      </c>
      <c r="CP38" s="439">
        <f t="shared" si="48"/>
        <v>8</v>
      </c>
      <c r="CQ38" s="439">
        <f>IF(CP38=8,'JSM Jahresdauerlinie'!$E$26,Y38)</f>
        <v>9.9999999999999995E-7</v>
      </c>
      <c r="CR38" s="439">
        <f t="shared" si="49"/>
        <v>8</v>
      </c>
      <c r="CS38" s="439">
        <f>IF(CR38=8,'JSM Jahresdauerlinie'!$E$26,AA38)</f>
        <v>9.9999999999999995E-7</v>
      </c>
      <c r="CT38" s="440"/>
      <c r="CW38" s="435">
        <f>IF(D38=8,'JSM Jahresdauerlinie'!$E$26,IF(BW38=0," ",BW38))</f>
        <v>9.9999999999999995E-7</v>
      </c>
      <c r="CX38" s="435">
        <f>IF(F38=8,'JSM Jahresdauerlinie'!$E$26,IF(BY38=0," ",BY38))</f>
        <v>9.9999999999999995E-7</v>
      </c>
      <c r="CY38" s="435">
        <f>IF(H38=8,'JSM Jahresdauerlinie'!$E$26,IF(CA38=0," ",CA38))</f>
        <v>9.9999999999999995E-7</v>
      </c>
      <c r="CZ38" s="435">
        <f>IF(J38=8,'JSM Jahresdauerlinie'!$E$26,IF(CC38=0," ",CC38))</f>
        <v>9.9999999999999995E-7</v>
      </c>
      <c r="DA38" s="435">
        <f>IF(L38=8,'JSM Jahresdauerlinie'!$E$26,IF(CE38=0," ",CE38))</f>
        <v>9.9999999999999995E-7</v>
      </c>
      <c r="DB38" s="435">
        <f>IF(N38=8,'JSM Jahresdauerlinie'!$E$26,IF(CG38=0," ",CG38))</f>
        <v>9.9999999999999995E-7</v>
      </c>
      <c r="DC38" s="435">
        <f>IF(P38=8,'JSM Jahresdauerlinie'!$E$26,IF(CI38=0," ",CI38))</f>
        <v>9.9999999999999995E-7</v>
      </c>
      <c r="DD38" s="435">
        <f>IF(R38=8,'JSM Jahresdauerlinie'!$E$26,IF(CK38=0," ",CK38))</f>
        <v>9.9999999999999995E-7</v>
      </c>
      <c r="DE38" s="435">
        <f>IF(T38=8,'JSM Jahresdauerlinie'!$E$26,IF(CM38=0," ",CM38))</f>
        <v>9.9999999999999995E-7</v>
      </c>
      <c r="DF38" s="435">
        <f>IF(V38=8,'JSM Jahresdauerlinie'!$E$26,IF(CO38=0," ",CO38))</f>
        <v>9.9999999999999995E-7</v>
      </c>
      <c r="DG38" s="435">
        <f>IF(X38=8,'JSM Jahresdauerlinie'!$E$26,IF(CQ38=0," ",CQ38))</f>
        <v>9.9999999999999995E-7</v>
      </c>
      <c r="DH38" s="435">
        <f>IF(Z38=8,'JSM Jahresdauerlinie'!$E$26,IF(CS38=0," ",CS38))</f>
        <v>9.9999999999999995E-7</v>
      </c>
      <c r="DJ38" s="441">
        <f t="shared" si="50"/>
        <v>9.9999999999999995E-7</v>
      </c>
      <c r="DK38" s="441">
        <f t="shared" si="51"/>
        <v>9.9999999999999995E-7</v>
      </c>
      <c r="DL38" s="441">
        <f t="shared" si="52"/>
        <v>9.9999999999999995E-7</v>
      </c>
      <c r="DM38" s="441">
        <f t="shared" si="53"/>
        <v>9.9999999999999995E-7</v>
      </c>
      <c r="DN38" s="441">
        <f t="shared" si="54"/>
        <v>9.9999999999999995E-7</v>
      </c>
      <c r="DO38" s="441">
        <f t="shared" si="55"/>
        <v>9.9999999999999995E-7</v>
      </c>
      <c r="DP38" s="441">
        <f t="shared" si="56"/>
        <v>9.9999999999999995E-7</v>
      </c>
      <c r="DQ38" s="441">
        <f t="shared" si="57"/>
        <v>9.9999999999999995E-7</v>
      </c>
      <c r="DR38" s="441">
        <f t="shared" si="58"/>
        <v>9.9999999999999995E-7</v>
      </c>
      <c r="DS38" s="441">
        <f t="shared" si="59"/>
        <v>9.9999999999999995E-7</v>
      </c>
      <c r="DT38" s="441">
        <f t="shared" si="60"/>
        <v>9.9999999999999995E-7</v>
      </c>
      <c r="DU38" s="441">
        <f t="shared" si="23"/>
        <v>9.9999999999999995E-7</v>
      </c>
      <c r="DX38" s="435">
        <f t="shared" si="61"/>
        <v>8</v>
      </c>
      <c r="DY38" s="435">
        <f t="shared" si="24"/>
        <v>8</v>
      </c>
      <c r="DZ38" s="435">
        <f t="shared" si="25"/>
        <v>8</v>
      </c>
      <c r="EA38" s="435">
        <f t="shared" si="26"/>
        <v>8</v>
      </c>
      <c r="EB38" s="435">
        <f t="shared" si="27"/>
        <v>8</v>
      </c>
      <c r="EC38" s="435">
        <f t="shared" si="28"/>
        <v>8</v>
      </c>
      <c r="ED38" s="435">
        <f t="shared" si="62"/>
        <v>8</v>
      </c>
      <c r="EE38" s="435">
        <f t="shared" si="29"/>
        <v>8</v>
      </c>
      <c r="EF38" s="435">
        <f t="shared" si="30"/>
        <v>8</v>
      </c>
      <c r="EG38" s="435">
        <f t="shared" si="31"/>
        <v>8</v>
      </c>
      <c r="EH38" s="435">
        <f t="shared" si="32"/>
        <v>8</v>
      </c>
      <c r="EI38" s="435">
        <f t="shared" si="33"/>
        <v>8</v>
      </c>
      <c r="EK38" s="441" t="str">
        <f t="shared" si="63"/>
        <v xml:space="preserve"> </v>
      </c>
      <c r="EL38" s="441" t="str">
        <f t="shared" si="64"/>
        <v xml:space="preserve"> </v>
      </c>
      <c r="EM38" s="441" t="str">
        <f t="shared" si="63"/>
        <v xml:space="preserve"> </v>
      </c>
      <c r="EN38" s="441" t="str">
        <f t="shared" si="64"/>
        <v xml:space="preserve"> </v>
      </c>
      <c r="EO38" s="441" t="str">
        <f t="shared" si="63"/>
        <v xml:space="preserve"> </v>
      </c>
      <c r="EP38" s="441" t="str">
        <f t="shared" si="64"/>
        <v xml:space="preserve"> </v>
      </c>
      <c r="EQ38" s="441" t="str">
        <f t="shared" si="63"/>
        <v xml:space="preserve"> </v>
      </c>
      <c r="ER38" s="441" t="str">
        <f t="shared" si="64"/>
        <v xml:space="preserve"> </v>
      </c>
      <c r="ES38" s="441" t="str">
        <f t="shared" si="63"/>
        <v xml:space="preserve"> </v>
      </c>
      <c r="ET38" s="441" t="str">
        <f t="shared" si="64"/>
        <v xml:space="preserve"> </v>
      </c>
      <c r="EU38" s="441" t="str">
        <f t="shared" si="63"/>
        <v xml:space="preserve"> </v>
      </c>
      <c r="EV38" s="441" t="str">
        <f t="shared" si="64"/>
        <v xml:space="preserve"> </v>
      </c>
      <c r="EW38" s="441" t="str">
        <f t="shared" si="63"/>
        <v xml:space="preserve"> </v>
      </c>
      <c r="EX38" s="441" t="str">
        <f t="shared" si="64"/>
        <v xml:space="preserve"> </v>
      </c>
      <c r="EY38" s="441" t="str">
        <f t="shared" si="63"/>
        <v xml:space="preserve"> </v>
      </c>
      <c r="EZ38" s="441" t="str">
        <f t="shared" si="64"/>
        <v xml:space="preserve"> </v>
      </c>
      <c r="FA38" s="441" t="str">
        <f t="shared" si="63"/>
        <v xml:space="preserve"> </v>
      </c>
      <c r="FB38" s="441" t="str">
        <f t="shared" si="64"/>
        <v xml:space="preserve"> </v>
      </c>
      <c r="FC38" s="441" t="str">
        <f t="shared" si="65"/>
        <v xml:space="preserve"> </v>
      </c>
      <c r="FD38" s="441" t="str">
        <f t="shared" si="66"/>
        <v xml:space="preserve"> </v>
      </c>
      <c r="FE38" s="441" t="str">
        <f t="shared" si="65"/>
        <v xml:space="preserve"> </v>
      </c>
      <c r="FF38" s="441" t="str">
        <f t="shared" si="66"/>
        <v xml:space="preserve"> </v>
      </c>
      <c r="FG38" s="437" t="str">
        <f t="shared" si="65"/>
        <v xml:space="preserve"> </v>
      </c>
      <c r="FH38" s="441" t="str">
        <f t="shared" si="66"/>
        <v xml:space="preserve"> </v>
      </c>
    </row>
    <row r="39" spans="2:164" ht="14.25" x14ac:dyDescent="0.2">
      <c r="B39" s="210">
        <v>8</v>
      </c>
      <c r="D39" s="740"/>
      <c r="E39" s="740"/>
      <c r="F39" s="745"/>
      <c r="G39" s="740"/>
      <c r="H39" s="745"/>
      <c r="I39" s="740"/>
      <c r="J39" s="740"/>
      <c r="K39" s="740"/>
      <c r="L39" s="740"/>
      <c r="M39" s="740"/>
      <c r="N39" s="740"/>
      <c r="O39" s="740"/>
      <c r="P39" s="740"/>
      <c r="Q39" s="740"/>
      <c r="R39" s="745"/>
      <c r="S39" s="740"/>
      <c r="T39" s="740"/>
      <c r="U39" s="740"/>
      <c r="V39" s="740"/>
      <c r="W39" s="740"/>
      <c r="X39" s="741"/>
      <c r="Y39" s="740"/>
      <c r="Z39" s="740"/>
      <c r="AA39" s="740"/>
      <c r="AF39" s="413" t="str">
        <f t="shared" si="34"/>
        <v xml:space="preserve"> </v>
      </c>
      <c r="AG39" s="413" t="str">
        <f t="shared" si="0"/>
        <v xml:space="preserve"> </v>
      </c>
      <c r="AH39" s="413" t="str">
        <f t="shared" si="1"/>
        <v xml:space="preserve"> </v>
      </c>
      <c r="AI39" s="413" t="str">
        <f t="shared" si="2"/>
        <v xml:space="preserve"> </v>
      </c>
      <c r="AJ39" s="413" t="str">
        <f t="shared" si="3"/>
        <v xml:space="preserve"> </v>
      </c>
      <c r="AK39" s="413" t="str">
        <f t="shared" si="4"/>
        <v xml:space="preserve"> </v>
      </c>
      <c r="AL39" s="413" t="str">
        <f t="shared" si="5"/>
        <v xml:space="preserve"> </v>
      </c>
      <c r="AM39" s="413" t="str">
        <f t="shared" si="6"/>
        <v xml:space="preserve"> </v>
      </c>
      <c r="AN39" s="413" t="str">
        <f t="shared" si="7"/>
        <v xml:space="preserve"> </v>
      </c>
      <c r="AO39" s="413" t="str">
        <f t="shared" si="8"/>
        <v xml:space="preserve"> </v>
      </c>
      <c r="AP39" s="413" t="str">
        <f t="shared" si="9"/>
        <v xml:space="preserve"> </v>
      </c>
      <c r="AQ39" s="413" t="str">
        <f t="shared" si="10"/>
        <v xml:space="preserve"> </v>
      </c>
      <c r="AU39" s="438">
        <f t="shared" si="35"/>
        <v>0</v>
      </c>
      <c r="AV39" s="438" t="str">
        <f t="shared" si="36"/>
        <v/>
      </c>
      <c r="AW39" s="438">
        <f t="shared" si="11"/>
        <v>0</v>
      </c>
      <c r="AX39" s="438" t="str">
        <f t="shared" si="36"/>
        <v/>
      </c>
      <c r="AY39" s="438">
        <f t="shared" si="12"/>
        <v>0</v>
      </c>
      <c r="AZ39" s="438" t="str">
        <f t="shared" si="36"/>
        <v/>
      </c>
      <c r="BA39" s="438">
        <f t="shared" si="13"/>
        <v>0</v>
      </c>
      <c r="BB39" s="438" t="str">
        <f t="shared" si="36"/>
        <v/>
      </c>
      <c r="BC39" s="438">
        <f t="shared" si="14"/>
        <v>0</v>
      </c>
      <c r="BD39" s="438" t="str">
        <f t="shared" si="36"/>
        <v/>
      </c>
      <c r="BE39" s="438">
        <f t="shared" si="15"/>
        <v>0</v>
      </c>
      <c r="BF39" s="438" t="str">
        <f t="shared" si="36"/>
        <v/>
      </c>
      <c r="BG39" s="438">
        <f t="shared" si="16"/>
        <v>0</v>
      </c>
      <c r="BH39" s="438" t="str">
        <f t="shared" si="36"/>
        <v/>
      </c>
      <c r="BI39" s="438">
        <f t="shared" si="17"/>
        <v>0</v>
      </c>
      <c r="BJ39" s="438" t="str">
        <f t="shared" si="36"/>
        <v/>
      </c>
      <c r="BK39" s="438">
        <f t="shared" si="18"/>
        <v>0</v>
      </c>
      <c r="BL39" s="438" t="str">
        <f t="shared" si="36"/>
        <v/>
      </c>
      <c r="BM39" s="438">
        <f t="shared" si="19"/>
        <v>0</v>
      </c>
      <c r="BN39" s="438" t="str">
        <f t="shared" si="37"/>
        <v/>
      </c>
      <c r="BO39" s="438">
        <f t="shared" si="20"/>
        <v>0</v>
      </c>
      <c r="BP39" s="438" t="str">
        <f t="shared" si="37"/>
        <v/>
      </c>
      <c r="BQ39" s="438">
        <f t="shared" si="21"/>
        <v>0</v>
      </c>
      <c r="BR39" s="438" t="str">
        <f t="shared" si="37"/>
        <v/>
      </c>
      <c r="BV39" s="439">
        <f t="shared" si="38"/>
        <v>8</v>
      </c>
      <c r="BW39" s="439">
        <f>IF(BV39=8,'JSM Jahresdauerlinie'!$E$26,E39)</f>
        <v>9.9999999999999995E-7</v>
      </c>
      <c r="BX39" s="439">
        <f t="shared" si="39"/>
        <v>8</v>
      </c>
      <c r="BY39" s="439">
        <f>IF(BX39=8,'JSM Jahresdauerlinie'!$E$26,G39)</f>
        <v>9.9999999999999995E-7</v>
      </c>
      <c r="BZ39" s="439">
        <f t="shared" si="40"/>
        <v>8</v>
      </c>
      <c r="CA39" s="439">
        <f>IF(BZ39=8,'JSM Jahresdauerlinie'!$E$26,I39)</f>
        <v>9.9999999999999995E-7</v>
      </c>
      <c r="CB39" s="439">
        <f t="shared" si="41"/>
        <v>8</v>
      </c>
      <c r="CC39" s="439">
        <f>IF(CB39=8,'JSM Jahresdauerlinie'!$E$26,K39)</f>
        <v>9.9999999999999995E-7</v>
      </c>
      <c r="CD39" s="439">
        <f t="shared" si="42"/>
        <v>8</v>
      </c>
      <c r="CE39" s="439">
        <f>IF(CD39=8,'JSM Jahresdauerlinie'!$E$26,M39)</f>
        <v>9.9999999999999995E-7</v>
      </c>
      <c r="CF39" s="439">
        <f t="shared" si="43"/>
        <v>8</v>
      </c>
      <c r="CG39" s="439">
        <f>IF(CF39=8,'JSM Jahresdauerlinie'!$E$26,O39)</f>
        <v>9.9999999999999995E-7</v>
      </c>
      <c r="CH39" s="439">
        <f t="shared" si="44"/>
        <v>8</v>
      </c>
      <c r="CI39" s="439">
        <f>IF(CH39=8,'JSM Jahresdauerlinie'!$E$26,Q39)</f>
        <v>9.9999999999999995E-7</v>
      </c>
      <c r="CJ39" s="439">
        <f t="shared" si="45"/>
        <v>8</v>
      </c>
      <c r="CK39" s="439">
        <f>IF(CJ39=8,'JSM Jahresdauerlinie'!$E$26,S39)</f>
        <v>9.9999999999999995E-7</v>
      </c>
      <c r="CL39" s="439">
        <f t="shared" si="46"/>
        <v>8</v>
      </c>
      <c r="CM39" s="439">
        <f>IF(CL39=8,'JSM Jahresdauerlinie'!$E$26,U39)</f>
        <v>9.9999999999999995E-7</v>
      </c>
      <c r="CN39" s="439">
        <f t="shared" si="47"/>
        <v>8</v>
      </c>
      <c r="CO39" s="439">
        <f>IF(CN39=8,'JSM Jahresdauerlinie'!$E$26,W39)</f>
        <v>9.9999999999999995E-7</v>
      </c>
      <c r="CP39" s="439">
        <f t="shared" si="48"/>
        <v>8</v>
      </c>
      <c r="CQ39" s="439">
        <f>IF(CP39=8,'JSM Jahresdauerlinie'!$E$26,Y39)</f>
        <v>9.9999999999999995E-7</v>
      </c>
      <c r="CR39" s="439">
        <f t="shared" si="49"/>
        <v>8</v>
      </c>
      <c r="CS39" s="439">
        <f>IF(CR39=8,'JSM Jahresdauerlinie'!$E$26,AA39)</f>
        <v>9.9999999999999995E-7</v>
      </c>
      <c r="CT39" s="440"/>
      <c r="CW39" s="435">
        <f>IF(D39=8,'JSM Jahresdauerlinie'!$E$26,IF(BW39=0," ",BW39))</f>
        <v>9.9999999999999995E-7</v>
      </c>
      <c r="CX39" s="435">
        <f>IF(F39=8,'JSM Jahresdauerlinie'!$E$26,IF(BY39=0," ",BY39))</f>
        <v>9.9999999999999995E-7</v>
      </c>
      <c r="CY39" s="435">
        <f>IF(H39=8,'JSM Jahresdauerlinie'!$E$26,IF(CA39=0," ",CA39))</f>
        <v>9.9999999999999995E-7</v>
      </c>
      <c r="CZ39" s="435">
        <f>IF(J39=8,'JSM Jahresdauerlinie'!$E$26,IF(CC39=0," ",CC39))</f>
        <v>9.9999999999999995E-7</v>
      </c>
      <c r="DA39" s="435">
        <f>IF(L39=8,'JSM Jahresdauerlinie'!$E$26,IF(CE39=0," ",CE39))</f>
        <v>9.9999999999999995E-7</v>
      </c>
      <c r="DB39" s="435">
        <f>IF(N39=8,'JSM Jahresdauerlinie'!$E$26,IF(CG39=0," ",CG39))</f>
        <v>9.9999999999999995E-7</v>
      </c>
      <c r="DC39" s="435">
        <f>IF(P39=8,'JSM Jahresdauerlinie'!$E$26,IF(CI39=0," ",CI39))</f>
        <v>9.9999999999999995E-7</v>
      </c>
      <c r="DD39" s="435">
        <f>IF(R39=8,'JSM Jahresdauerlinie'!$E$26,IF(CK39=0," ",CK39))</f>
        <v>9.9999999999999995E-7</v>
      </c>
      <c r="DE39" s="435">
        <f>IF(T39=8,'JSM Jahresdauerlinie'!$E$26,IF(CM39=0," ",CM39))</f>
        <v>9.9999999999999995E-7</v>
      </c>
      <c r="DF39" s="435">
        <f>IF(V39=8,'JSM Jahresdauerlinie'!$E$26,IF(CO39=0," ",CO39))</f>
        <v>9.9999999999999995E-7</v>
      </c>
      <c r="DG39" s="435">
        <f>IF(X39=8,'JSM Jahresdauerlinie'!$E$26,IF(CQ39=0," ",CQ39))</f>
        <v>9.9999999999999995E-7</v>
      </c>
      <c r="DH39" s="435">
        <f>IF(Z39=8,'JSM Jahresdauerlinie'!$E$26,IF(CS39=0," ",CS39))</f>
        <v>9.9999999999999995E-7</v>
      </c>
      <c r="DJ39" s="441">
        <f t="shared" si="50"/>
        <v>9.9999999999999995E-7</v>
      </c>
      <c r="DK39" s="441">
        <f t="shared" si="51"/>
        <v>9.9999999999999995E-7</v>
      </c>
      <c r="DL39" s="441">
        <f t="shared" si="52"/>
        <v>9.9999999999999995E-7</v>
      </c>
      <c r="DM39" s="441">
        <f t="shared" si="53"/>
        <v>9.9999999999999995E-7</v>
      </c>
      <c r="DN39" s="441">
        <f t="shared" si="54"/>
        <v>9.9999999999999995E-7</v>
      </c>
      <c r="DO39" s="441">
        <f t="shared" si="55"/>
        <v>9.9999999999999995E-7</v>
      </c>
      <c r="DP39" s="441">
        <f t="shared" si="56"/>
        <v>9.9999999999999995E-7</v>
      </c>
      <c r="DQ39" s="441">
        <f t="shared" si="57"/>
        <v>9.9999999999999995E-7</v>
      </c>
      <c r="DR39" s="441">
        <f t="shared" si="58"/>
        <v>9.9999999999999995E-7</v>
      </c>
      <c r="DS39" s="441">
        <f t="shared" si="59"/>
        <v>9.9999999999999995E-7</v>
      </c>
      <c r="DT39" s="441">
        <f t="shared" si="60"/>
        <v>9.9999999999999995E-7</v>
      </c>
      <c r="DU39" s="441">
        <f t="shared" si="23"/>
        <v>9.9999999999999995E-7</v>
      </c>
      <c r="DX39" s="435">
        <f t="shared" si="61"/>
        <v>8</v>
      </c>
      <c r="DY39" s="435">
        <f t="shared" si="24"/>
        <v>8</v>
      </c>
      <c r="DZ39" s="435">
        <f t="shared" si="25"/>
        <v>8</v>
      </c>
      <c r="EA39" s="435">
        <f t="shared" si="26"/>
        <v>8</v>
      </c>
      <c r="EB39" s="435">
        <f t="shared" si="27"/>
        <v>8</v>
      </c>
      <c r="EC39" s="435">
        <f t="shared" si="28"/>
        <v>8</v>
      </c>
      <c r="ED39" s="435">
        <f t="shared" si="62"/>
        <v>8</v>
      </c>
      <c r="EE39" s="435">
        <f t="shared" si="29"/>
        <v>8</v>
      </c>
      <c r="EF39" s="435">
        <f t="shared" si="30"/>
        <v>8</v>
      </c>
      <c r="EG39" s="435">
        <f t="shared" si="31"/>
        <v>8</v>
      </c>
      <c r="EH39" s="435">
        <f t="shared" si="32"/>
        <v>8</v>
      </c>
      <c r="EI39" s="435">
        <f t="shared" si="33"/>
        <v>8</v>
      </c>
      <c r="EK39" s="441" t="str">
        <f t="shared" si="63"/>
        <v xml:space="preserve"> </v>
      </c>
      <c r="EL39" s="441" t="str">
        <f t="shared" si="64"/>
        <v xml:space="preserve"> </v>
      </c>
      <c r="EM39" s="441" t="str">
        <f t="shared" si="63"/>
        <v xml:space="preserve"> </v>
      </c>
      <c r="EN39" s="441" t="str">
        <f t="shared" si="64"/>
        <v xml:space="preserve"> </v>
      </c>
      <c r="EO39" s="441" t="str">
        <f t="shared" si="63"/>
        <v xml:space="preserve"> </v>
      </c>
      <c r="EP39" s="441" t="str">
        <f t="shared" si="64"/>
        <v xml:space="preserve"> </v>
      </c>
      <c r="EQ39" s="441" t="str">
        <f t="shared" si="63"/>
        <v xml:space="preserve"> </v>
      </c>
      <c r="ER39" s="441" t="str">
        <f t="shared" si="64"/>
        <v xml:space="preserve"> </v>
      </c>
      <c r="ES39" s="441" t="str">
        <f t="shared" si="63"/>
        <v xml:space="preserve"> </v>
      </c>
      <c r="ET39" s="441" t="str">
        <f t="shared" si="64"/>
        <v xml:space="preserve"> </v>
      </c>
      <c r="EU39" s="441" t="str">
        <f t="shared" si="63"/>
        <v xml:space="preserve"> </v>
      </c>
      <c r="EV39" s="441" t="str">
        <f t="shared" si="64"/>
        <v xml:space="preserve"> </v>
      </c>
      <c r="EW39" s="441" t="str">
        <f t="shared" si="63"/>
        <v xml:space="preserve"> </v>
      </c>
      <c r="EX39" s="441" t="str">
        <f t="shared" si="64"/>
        <v xml:space="preserve"> </v>
      </c>
      <c r="EY39" s="441" t="str">
        <f t="shared" si="63"/>
        <v xml:space="preserve"> </v>
      </c>
      <c r="EZ39" s="441" t="str">
        <f t="shared" si="64"/>
        <v xml:space="preserve"> </v>
      </c>
      <c r="FA39" s="441" t="str">
        <f t="shared" si="63"/>
        <v xml:space="preserve"> </v>
      </c>
      <c r="FB39" s="441" t="str">
        <f t="shared" si="64"/>
        <v xml:space="preserve"> </v>
      </c>
      <c r="FC39" s="441" t="str">
        <f t="shared" si="65"/>
        <v xml:space="preserve"> </v>
      </c>
      <c r="FD39" s="441" t="str">
        <f t="shared" si="66"/>
        <v xml:space="preserve"> </v>
      </c>
      <c r="FE39" s="441" t="str">
        <f t="shared" si="65"/>
        <v xml:space="preserve"> </v>
      </c>
      <c r="FF39" s="441" t="str">
        <f t="shared" si="66"/>
        <v xml:space="preserve"> </v>
      </c>
      <c r="FG39" s="437" t="str">
        <f t="shared" si="65"/>
        <v xml:space="preserve"> </v>
      </c>
      <c r="FH39" s="441" t="str">
        <f t="shared" si="66"/>
        <v xml:space="preserve"> </v>
      </c>
    </row>
    <row r="40" spans="2:164" ht="14.25" x14ac:dyDescent="0.2">
      <c r="B40" s="210">
        <v>9</v>
      </c>
      <c r="D40" s="740"/>
      <c r="E40" s="740"/>
      <c r="F40" s="745"/>
      <c r="G40" s="740"/>
      <c r="H40" s="745"/>
      <c r="I40" s="740"/>
      <c r="J40" s="740"/>
      <c r="K40" s="740"/>
      <c r="L40" s="745"/>
      <c r="M40" s="740"/>
      <c r="N40" s="740"/>
      <c r="O40" s="740"/>
      <c r="P40" s="740"/>
      <c r="Q40" s="740"/>
      <c r="R40" s="740"/>
      <c r="S40" s="740"/>
      <c r="T40" s="740"/>
      <c r="U40" s="740"/>
      <c r="V40" s="740"/>
      <c r="W40" s="740"/>
      <c r="X40" s="741"/>
      <c r="Y40" s="740"/>
      <c r="Z40" s="745"/>
      <c r="AA40" s="740"/>
      <c r="AF40" s="413" t="str">
        <f t="shared" si="34"/>
        <v xml:space="preserve"> </v>
      </c>
      <c r="AG40" s="413" t="str">
        <f t="shared" si="0"/>
        <v xml:space="preserve"> </v>
      </c>
      <c r="AH40" s="413" t="str">
        <f t="shared" si="1"/>
        <v xml:space="preserve"> </v>
      </c>
      <c r="AI40" s="413" t="str">
        <f t="shared" si="2"/>
        <v xml:space="preserve"> </v>
      </c>
      <c r="AJ40" s="413" t="str">
        <f t="shared" si="3"/>
        <v xml:space="preserve"> </v>
      </c>
      <c r="AK40" s="413" t="str">
        <f t="shared" si="4"/>
        <v xml:space="preserve"> </v>
      </c>
      <c r="AL40" s="413" t="str">
        <f t="shared" si="5"/>
        <v xml:space="preserve"> </v>
      </c>
      <c r="AM40" s="413" t="str">
        <f t="shared" si="6"/>
        <v xml:space="preserve"> </v>
      </c>
      <c r="AN40" s="413" t="str">
        <f t="shared" si="7"/>
        <v xml:space="preserve"> </v>
      </c>
      <c r="AO40" s="413" t="str">
        <f t="shared" si="8"/>
        <v xml:space="preserve"> </v>
      </c>
      <c r="AP40" s="413" t="str">
        <f t="shared" si="9"/>
        <v xml:space="preserve"> </v>
      </c>
      <c r="AQ40" s="413" t="str">
        <f t="shared" si="10"/>
        <v xml:space="preserve"> </v>
      </c>
      <c r="AU40" s="438">
        <f t="shared" si="35"/>
        <v>0</v>
      </c>
      <c r="AV40" s="438" t="str">
        <f t="shared" si="36"/>
        <v/>
      </c>
      <c r="AW40" s="438">
        <f t="shared" si="11"/>
        <v>0</v>
      </c>
      <c r="AX40" s="438" t="str">
        <f t="shared" si="36"/>
        <v/>
      </c>
      <c r="AY40" s="438">
        <f t="shared" si="12"/>
        <v>0</v>
      </c>
      <c r="AZ40" s="438" t="str">
        <f t="shared" si="36"/>
        <v/>
      </c>
      <c r="BA40" s="438">
        <f t="shared" si="13"/>
        <v>0</v>
      </c>
      <c r="BB40" s="438" t="str">
        <f t="shared" si="36"/>
        <v/>
      </c>
      <c r="BC40" s="438">
        <f t="shared" si="14"/>
        <v>0</v>
      </c>
      <c r="BD40" s="438" t="str">
        <f t="shared" si="36"/>
        <v/>
      </c>
      <c r="BE40" s="438">
        <f t="shared" si="15"/>
        <v>0</v>
      </c>
      <c r="BF40" s="438" t="str">
        <f t="shared" si="36"/>
        <v/>
      </c>
      <c r="BG40" s="438">
        <f t="shared" si="16"/>
        <v>0</v>
      </c>
      <c r="BH40" s="438" t="str">
        <f t="shared" si="36"/>
        <v/>
      </c>
      <c r="BI40" s="438">
        <f t="shared" si="17"/>
        <v>0</v>
      </c>
      <c r="BJ40" s="438" t="str">
        <f t="shared" si="36"/>
        <v/>
      </c>
      <c r="BK40" s="438">
        <f t="shared" si="18"/>
        <v>0</v>
      </c>
      <c r="BL40" s="438" t="str">
        <f t="shared" si="36"/>
        <v/>
      </c>
      <c r="BM40" s="438">
        <f t="shared" si="19"/>
        <v>0</v>
      </c>
      <c r="BN40" s="438" t="str">
        <f t="shared" si="37"/>
        <v/>
      </c>
      <c r="BO40" s="438">
        <f t="shared" si="20"/>
        <v>0</v>
      </c>
      <c r="BP40" s="438" t="str">
        <f t="shared" si="37"/>
        <v/>
      </c>
      <c r="BQ40" s="438">
        <f t="shared" si="21"/>
        <v>0</v>
      </c>
      <c r="BR40" s="438" t="str">
        <f t="shared" si="37"/>
        <v/>
      </c>
      <c r="BV40" s="439">
        <f t="shared" si="38"/>
        <v>8</v>
      </c>
      <c r="BW40" s="439">
        <f>IF(BV40=8,'JSM Jahresdauerlinie'!$E$26,E40)</f>
        <v>9.9999999999999995E-7</v>
      </c>
      <c r="BX40" s="439">
        <f t="shared" si="39"/>
        <v>8</v>
      </c>
      <c r="BY40" s="439">
        <f>IF(BX40=8,'JSM Jahresdauerlinie'!$E$26,G40)</f>
        <v>9.9999999999999995E-7</v>
      </c>
      <c r="BZ40" s="439">
        <f t="shared" si="40"/>
        <v>8</v>
      </c>
      <c r="CA40" s="439">
        <f>IF(BZ40=8,'JSM Jahresdauerlinie'!$E$26,I40)</f>
        <v>9.9999999999999995E-7</v>
      </c>
      <c r="CB40" s="439">
        <f t="shared" si="41"/>
        <v>8</v>
      </c>
      <c r="CC40" s="439">
        <f>IF(CB40=8,'JSM Jahresdauerlinie'!$E$26,K40)</f>
        <v>9.9999999999999995E-7</v>
      </c>
      <c r="CD40" s="439">
        <f t="shared" si="42"/>
        <v>8</v>
      </c>
      <c r="CE40" s="439">
        <f>IF(CD40=8,'JSM Jahresdauerlinie'!$E$26,M40)</f>
        <v>9.9999999999999995E-7</v>
      </c>
      <c r="CF40" s="439">
        <f t="shared" si="43"/>
        <v>8</v>
      </c>
      <c r="CG40" s="439">
        <f>IF(CF40=8,'JSM Jahresdauerlinie'!$E$26,O40)</f>
        <v>9.9999999999999995E-7</v>
      </c>
      <c r="CH40" s="439">
        <f t="shared" si="44"/>
        <v>8</v>
      </c>
      <c r="CI40" s="439">
        <f>IF(CH40=8,'JSM Jahresdauerlinie'!$E$26,Q40)</f>
        <v>9.9999999999999995E-7</v>
      </c>
      <c r="CJ40" s="439">
        <f t="shared" si="45"/>
        <v>8</v>
      </c>
      <c r="CK40" s="439">
        <f>IF(CJ40=8,'JSM Jahresdauerlinie'!$E$26,S40)</f>
        <v>9.9999999999999995E-7</v>
      </c>
      <c r="CL40" s="439">
        <f t="shared" si="46"/>
        <v>8</v>
      </c>
      <c r="CM40" s="439">
        <f>IF(CL40=8,'JSM Jahresdauerlinie'!$E$26,U40)</f>
        <v>9.9999999999999995E-7</v>
      </c>
      <c r="CN40" s="439">
        <f t="shared" si="47"/>
        <v>8</v>
      </c>
      <c r="CO40" s="439">
        <f>IF(CN40=8,'JSM Jahresdauerlinie'!$E$26,W40)</f>
        <v>9.9999999999999995E-7</v>
      </c>
      <c r="CP40" s="439">
        <f t="shared" si="48"/>
        <v>8</v>
      </c>
      <c r="CQ40" s="439">
        <f>IF(CP40=8,'JSM Jahresdauerlinie'!$E$26,Y40)</f>
        <v>9.9999999999999995E-7</v>
      </c>
      <c r="CR40" s="439">
        <f t="shared" si="49"/>
        <v>8</v>
      </c>
      <c r="CS40" s="439">
        <f>IF(CR40=8,'JSM Jahresdauerlinie'!$E$26,AA40)</f>
        <v>9.9999999999999995E-7</v>
      </c>
      <c r="CT40" s="440"/>
      <c r="CW40" s="435">
        <f>IF(D40=8,'JSM Jahresdauerlinie'!$E$26,IF(BW40=0," ",BW40))</f>
        <v>9.9999999999999995E-7</v>
      </c>
      <c r="CX40" s="435">
        <f>IF(F40=8,'JSM Jahresdauerlinie'!$E$26,IF(BY40=0," ",BY40))</f>
        <v>9.9999999999999995E-7</v>
      </c>
      <c r="CY40" s="435">
        <f>IF(H40=8,'JSM Jahresdauerlinie'!$E$26,IF(CA40=0," ",CA40))</f>
        <v>9.9999999999999995E-7</v>
      </c>
      <c r="CZ40" s="435">
        <f>IF(J40=8,'JSM Jahresdauerlinie'!$E$26,IF(CC40=0," ",CC40))</f>
        <v>9.9999999999999995E-7</v>
      </c>
      <c r="DA40" s="435">
        <f>IF(L40=8,'JSM Jahresdauerlinie'!$E$26,IF(CE40=0," ",CE40))</f>
        <v>9.9999999999999995E-7</v>
      </c>
      <c r="DB40" s="435">
        <f>IF(N40=8,'JSM Jahresdauerlinie'!$E$26,IF(CG40=0," ",CG40))</f>
        <v>9.9999999999999995E-7</v>
      </c>
      <c r="DC40" s="435">
        <f>IF(P40=8,'JSM Jahresdauerlinie'!$E$26,IF(CI40=0," ",CI40))</f>
        <v>9.9999999999999995E-7</v>
      </c>
      <c r="DD40" s="435">
        <f>IF(R40=8,'JSM Jahresdauerlinie'!$E$26,IF(CK40=0," ",CK40))</f>
        <v>9.9999999999999995E-7</v>
      </c>
      <c r="DE40" s="435">
        <f>IF(T40=8,'JSM Jahresdauerlinie'!$E$26,IF(CM40=0," ",CM40))</f>
        <v>9.9999999999999995E-7</v>
      </c>
      <c r="DF40" s="435">
        <f>IF(V40=8,'JSM Jahresdauerlinie'!$E$26,IF(CO40=0," ",CO40))</f>
        <v>9.9999999999999995E-7</v>
      </c>
      <c r="DG40" s="435">
        <f>IF(X40=8,'JSM Jahresdauerlinie'!$E$26,IF(CQ40=0," ",CQ40))</f>
        <v>9.9999999999999995E-7</v>
      </c>
      <c r="DH40" s="435">
        <f>IF(Z40=8,'JSM Jahresdauerlinie'!$E$26,IF(CS40=0," ",CS40))</f>
        <v>9.9999999999999995E-7</v>
      </c>
      <c r="DJ40" s="441">
        <f t="shared" si="50"/>
        <v>9.9999999999999995E-7</v>
      </c>
      <c r="DK40" s="441">
        <f t="shared" si="51"/>
        <v>9.9999999999999995E-7</v>
      </c>
      <c r="DL40" s="441">
        <f t="shared" si="52"/>
        <v>9.9999999999999995E-7</v>
      </c>
      <c r="DM40" s="441">
        <f t="shared" si="53"/>
        <v>9.9999999999999995E-7</v>
      </c>
      <c r="DN40" s="441">
        <f t="shared" si="54"/>
        <v>9.9999999999999995E-7</v>
      </c>
      <c r="DO40" s="441">
        <f t="shared" si="55"/>
        <v>9.9999999999999995E-7</v>
      </c>
      <c r="DP40" s="441">
        <f t="shared" si="56"/>
        <v>9.9999999999999995E-7</v>
      </c>
      <c r="DQ40" s="441">
        <f t="shared" si="57"/>
        <v>9.9999999999999995E-7</v>
      </c>
      <c r="DR40" s="441">
        <f t="shared" si="58"/>
        <v>9.9999999999999995E-7</v>
      </c>
      <c r="DS40" s="441">
        <f t="shared" si="59"/>
        <v>9.9999999999999995E-7</v>
      </c>
      <c r="DT40" s="441">
        <f t="shared" si="60"/>
        <v>9.9999999999999995E-7</v>
      </c>
      <c r="DU40" s="441">
        <f t="shared" si="23"/>
        <v>9.9999999999999995E-7</v>
      </c>
      <c r="DX40" s="435">
        <f t="shared" si="61"/>
        <v>8</v>
      </c>
      <c r="DY40" s="435">
        <f t="shared" si="24"/>
        <v>8</v>
      </c>
      <c r="DZ40" s="435">
        <f t="shared" si="25"/>
        <v>8</v>
      </c>
      <c r="EA40" s="435">
        <f t="shared" si="26"/>
        <v>8</v>
      </c>
      <c r="EB40" s="435">
        <f t="shared" si="27"/>
        <v>8</v>
      </c>
      <c r="EC40" s="435">
        <f t="shared" si="28"/>
        <v>8</v>
      </c>
      <c r="ED40" s="435">
        <f t="shared" si="62"/>
        <v>8</v>
      </c>
      <c r="EE40" s="435">
        <f t="shared" si="29"/>
        <v>8</v>
      </c>
      <c r="EF40" s="435">
        <f t="shared" si="30"/>
        <v>8</v>
      </c>
      <c r="EG40" s="435">
        <f t="shared" si="31"/>
        <v>8</v>
      </c>
      <c r="EH40" s="435">
        <f t="shared" si="32"/>
        <v>8</v>
      </c>
      <c r="EI40" s="435">
        <f t="shared" si="33"/>
        <v>8</v>
      </c>
      <c r="EK40" s="441" t="str">
        <f t="shared" si="63"/>
        <v xml:space="preserve"> </v>
      </c>
      <c r="EL40" s="441" t="str">
        <f t="shared" si="64"/>
        <v xml:space="preserve"> </v>
      </c>
      <c r="EM40" s="441" t="str">
        <f t="shared" si="63"/>
        <v xml:space="preserve"> </v>
      </c>
      <c r="EN40" s="441" t="str">
        <f t="shared" si="64"/>
        <v xml:space="preserve"> </v>
      </c>
      <c r="EO40" s="441" t="str">
        <f t="shared" si="63"/>
        <v xml:space="preserve"> </v>
      </c>
      <c r="EP40" s="441" t="str">
        <f t="shared" si="64"/>
        <v xml:space="preserve"> </v>
      </c>
      <c r="EQ40" s="441" t="str">
        <f t="shared" si="63"/>
        <v xml:space="preserve"> </v>
      </c>
      <c r="ER40" s="441" t="str">
        <f t="shared" si="64"/>
        <v xml:space="preserve"> </v>
      </c>
      <c r="ES40" s="441" t="str">
        <f t="shared" si="63"/>
        <v xml:space="preserve"> </v>
      </c>
      <c r="ET40" s="441" t="str">
        <f t="shared" si="64"/>
        <v xml:space="preserve"> </v>
      </c>
      <c r="EU40" s="441" t="str">
        <f t="shared" si="63"/>
        <v xml:space="preserve"> </v>
      </c>
      <c r="EV40" s="441" t="str">
        <f t="shared" si="64"/>
        <v xml:space="preserve"> </v>
      </c>
      <c r="EW40" s="441" t="str">
        <f t="shared" si="63"/>
        <v xml:space="preserve"> </v>
      </c>
      <c r="EX40" s="441" t="str">
        <f t="shared" si="64"/>
        <v xml:space="preserve"> </v>
      </c>
      <c r="EY40" s="441" t="str">
        <f t="shared" si="63"/>
        <v xml:space="preserve"> </v>
      </c>
      <c r="EZ40" s="441" t="str">
        <f t="shared" si="64"/>
        <v xml:space="preserve"> </v>
      </c>
      <c r="FA40" s="441" t="str">
        <f t="shared" si="63"/>
        <v xml:space="preserve"> </v>
      </c>
      <c r="FB40" s="441" t="str">
        <f t="shared" si="64"/>
        <v xml:space="preserve"> </v>
      </c>
      <c r="FC40" s="441" t="str">
        <f t="shared" si="65"/>
        <v xml:space="preserve"> </v>
      </c>
      <c r="FD40" s="441" t="str">
        <f t="shared" si="66"/>
        <v xml:space="preserve"> </v>
      </c>
      <c r="FE40" s="441" t="str">
        <f t="shared" si="65"/>
        <v xml:space="preserve"> </v>
      </c>
      <c r="FF40" s="441" t="str">
        <f t="shared" si="66"/>
        <v xml:space="preserve"> </v>
      </c>
      <c r="FG40" s="437" t="str">
        <f t="shared" si="65"/>
        <v xml:space="preserve"> </v>
      </c>
      <c r="FH40" s="441" t="str">
        <f t="shared" si="66"/>
        <v xml:space="preserve"> </v>
      </c>
    </row>
    <row r="41" spans="2:164" ht="14.25" x14ac:dyDescent="0.2">
      <c r="B41" s="210">
        <v>10</v>
      </c>
      <c r="D41" s="740"/>
      <c r="E41" s="740"/>
      <c r="F41" s="740"/>
      <c r="G41" s="740"/>
      <c r="H41" s="740"/>
      <c r="I41" s="740"/>
      <c r="J41" s="740"/>
      <c r="K41" s="740"/>
      <c r="L41" s="740"/>
      <c r="M41" s="740"/>
      <c r="N41" s="745"/>
      <c r="O41" s="740"/>
      <c r="P41" s="740"/>
      <c r="Q41" s="740"/>
      <c r="R41" s="740"/>
      <c r="S41" s="740"/>
      <c r="T41" s="740"/>
      <c r="U41" s="740"/>
      <c r="V41" s="740"/>
      <c r="W41" s="740"/>
      <c r="X41" s="741"/>
      <c r="Y41" s="740"/>
      <c r="Z41" s="745"/>
      <c r="AA41" s="740"/>
      <c r="AF41" s="413" t="str">
        <f t="shared" si="34"/>
        <v xml:space="preserve"> </v>
      </c>
      <c r="AG41" s="413" t="str">
        <f t="shared" si="0"/>
        <v xml:space="preserve"> </v>
      </c>
      <c r="AH41" s="413" t="str">
        <f t="shared" si="1"/>
        <v xml:space="preserve"> </v>
      </c>
      <c r="AI41" s="413" t="str">
        <f t="shared" si="2"/>
        <v xml:space="preserve"> </v>
      </c>
      <c r="AJ41" s="413" t="str">
        <f t="shared" si="3"/>
        <v xml:space="preserve"> </v>
      </c>
      <c r="AK41" s="413" t="str">
        <f t="shared" si="4"/>
        <v xml:space="preserve"> </v>
      </c>
      <c r="AL41" s="413" t="str">
        <f t="shared" si="5"/>
        <v xml:space="preserve"> </v>
      </c>
      <c r="AM41" s="413" t="str">
        <f t="shared" si="6"/>
        <v xml:space="preserve"> </v>
      </c>
      <c r="AN41" s="413" t="str">
        <f t="shared" si="7"/>
        <v xml:space="preserve"> </v>
      </c>
      <c r="AO41" s="413" t="str">
        <f t="shared" si="8"/>
        <v xml:space="preserve"> </v>
      </c>
      <c r="AP41" s="413" t="str">
        <f t="shared" si="9"/>
        <v xml:space="preserve"> </v>
      </c>
      <c r="AQ41" s="413" t="str">
        <f t="shared" si="10"/>
        <v xml:space="preserve"> </v>
      </c>
      <c r="AU41" s="438">
        <f t="shared" si="35"/>
        <v>0</v>
      </c>
      <c r="AV41" s="438" t="str">
        <f t="shared" si="36"/>
        <v/>
      </c>
      <c r="AW41" s="438">
        <f t="shared" si="11"/>
        <v>0</v>
      </c>
      <c r="AX41" s="438" t="str">
        <f t="shared" si="36"/>
        <v/>
      </c>
      <c r="AY41" s="438">
        <f t="shared" si="12"/>
        <v>0</v>
      </c>
      <c r="AZ41" s="438" t="str">
        <f t="shared" si="36"/>
        <v/>
      </c>
      <c r="BA41" s="438">
        <f t="shared" si="13"/>
        <v>0</v>
      </c>
      <c r="BB41" s="438" t="str">
        <f t="shared" si="36"/>
        <v/>
      </c>
      <c r="BC41" s="438">
        <f t="shared" si="14"/>
        <v>0</v>
      </c>
      <c r="BD41" s="438" t="str">
        <f t="shared" si="36"/>
        <v/>
      </c>
      <c r="BE41" s="438">
        <f t="shared" si="15"/>
        <v>0</v>
      </c>
      <c r="BF41" s="438" t="str">
        <f t="shared" si="36"/>
        <v/>
      </c>
      <c r="BG41" s="438">
        <f t="shared" si="16"/>
        <v>0</v>
      </c>
      <c r="BH41" s="438" t="str">
        <f t="shared" si="36"/>
        <v/>
      </c>
      <c r="BI41" s="438">
        <f t="shared" si="17"/>
        <v>0</v>
      </c>
      <c r="BJ41" s="438" t="str">
        <f t="shared" si="36"/>
        <v/>
      </c>
      <c r="BK41" s="438">
        <f t="shared" si="18"/>
        <v>0</v>
      </c>
      <c r="BL41" s="438" t="str">
        <f t="shared" si="36"/>
        <v/>
      </c>
      <c r="BM41" s="438">
        <f t="shared" si="19"/>
        <v>0</v>
      </c>
      <c r="BN41" s="438" t="str">
        <f t="shared" si="37"/>
        <v/>
      </c>
      <c r="BO41" s="438">
        <f t="shared" si="20"/>
        <v>0</v>
      </c>
      <c r="BP41" s="438" t="str">
        <f t="shared" si="37"/>
        <v/>
      </c>
      <c r="BQ41" s="438">
        <f t="shared" si="21"/>
        <v>0</v>
      </c>
      <c r="BR41" s="438" t="str">
        <f t="shared" si="37"/>
        <v/>
      </c>
      <c r="BV41" s="439">
        <f t="shared" si="38"/>
        <v>8</v>
      </c>
      <c r="BW41" s="439">
        <f>IF(BV41=8,'JSM Jahresdauerlinie'!$E$26,E41)</f>
        <v>9.9999999999999995E-7</v>
      </c>
      <c r="BX41" s="439">
        <f t="shared" si="39"/>
        <v>8</v>
      </c>
      <c r="BY41" s="439">
        <f>IF(BX41=8,'JSM Jahresdauerlinie'!$E$26,G41)</f>
        <v>9.9999999999999995E-7</v>
      </c>
      <c r="BZ41" s="439">
        <f t="shared" si="40"/>
        <v>8</v>
      </c>
      <c r="CA41" s="439">
        <f>IF(BZ41=8,'JSM Jahresdauerlinie'!$E$26,I41)</f>
        <v>9.9999999999999995E-7</v>
      </c>
      <c r="CB41" s="439">
        <f t="shared" si="41"/>
        <v>8</v>
      </c>
      <c r="CC41" s="439">
        <f>IF(CB41=8,'JSM Jahresdauerlinie'!$E$26,K41)</f>
        <v>9.9999999999999995E-7</v>
      </c>
      <c r="CD41" s="439">
        <f t="shared" si="42"/>
        <v>8</v>
      </c>
      <c r="CE41" s="439">
        <f>IF(CD41=8,'JSM Jahresdauerlinie'!$E$26,M41)</f>
        <v>9.9999999999999995E-7</v>
      </c>
      <c r="CF41" s="439">
        <f t="shared" si="43"/>
        <v>8</v>
      </c>
      <c r="CG41" s="439">
        <f>IF(CF41=8,'JSM Jahresdauerlinie'!$E$26,O41)</f>
        <v>9.9999999999999995E-7</v>
      </c>
      <c r="CH41" s="439">
        <f t="shared" si="44"/>
        <v>8</v>
      </c>
      <c r="CI41" s="439">
        <f>IF(CH41=8,'JSM Jahresdauerlinie'!$E$26,Q41)</f>
        <v>9.9999999999999995E-7</v>
      </c>
      <c r="CJ41" s="439">
        <f t="shared" si="45"/>
        <v>8</v>
      </c>
      <c r="CK41" s="439">
        <f>IF(CJ41=8,'JSM Jahresdauerlinie'!$E$26,S41)</f>
        <v>9.9999999999999995E-7</v>
      </c>
      <c r="CL41" s="439">
        <f t="shared" si="46"/>
        <v>8</v>
      </c>
      <c r="CM41" s="439">
        <f>IF(CL41=8,'JSM Jahresdauerlinie'!$E$26,U41)</f>
        <v>9.9999999999999995E-7</v>
      </c>
      <c r="CN41" s="439">
        <f t="shared" si="47"/>
        <v>8</v>
      </c>
      <c r="CO41" s="439">
        <f>IF(CN41=8,'JSM Jahresdauerlinie'!$E$26,W41)</f>
        <v>9.9999999999999995E-7</v>
      </c>
      <c r="CP41" s="439">
        <f t="shared" si="48"/>
        <v>8</v>
      </c>
      <c r="CQ41" s="439">
        <f>IF(CP41=8,'JSM Jahresdauerlinie'!$E$26,Y41)</f>
        <v>9.9999999999999995E-7</v>
      </c>
      <c r="CR41" s="439">
        <f t="shared" si="49"/>
        <v>8</v>
      </c>
      <c r="CS41" s="439">
        <f>IF(CR41=8,'JSM Jahresdauerlinie'!$E$26,AA41)</f>
        <v>9.9999999999999995E-7</v>
      </c>
      <c r="CT41" s="440"/>
      <c r="CW41" s="435">
        <f>IF(D41=8,'JSM Jahresdauerlinie'!$E$26,IF(BW41=0," ",BW41))</f>
        <v>9.9999999999999995E-7</v>
      </c>
      <c r="CX41" s="435">
        <f>IF(F41=8,'JSM Jahresdauerlinie'!$E$26,IF(BY41=0," ",BY41))</f>
        <v>9.9999999999999995E-7</v>
      </c>
      <c r="CY41" s="435">
        <f>IF(H41=8,'JSM Jahresdauerlinie'!$E$26,IF(CA41=0," ",CA41))</f>
        <v>9.9999999999999995E-7</v>
      </c>
      <c r="CZ41" s="435">
        <f>IF(J41=8,'JSM Jahresdauerlinie'!$E$26,IF(CC41=0," ",CC41))</f>
        <v>9.9999999999999995E-7</v>
      </c>
      <c r="DA41" s="435">
        <f>IF(L41=8,'JSM Jahresdauerlinie'!$E$26,IF(CE41=0," ",CE41))</f>
        <v>9.9999999999999995E-7</v>
      </c>
      <c r="DB41" s="435">
        <f>IF(N41=8,'JSM Jahresdauerlinie'!$E$26,IF(CG41=0," ",CG41))</f>
        <v>9.9999999999999995E-7</v>
      </c>
      <c r="DC41" s="435">
        <f>IF(P41=8,'JSM Jahresdauerlinie'!$E$26,IF(CI41=0," ",CI41))</f>
        <v>9.9999999999999995E-7</v>
      </c>
      <c r="DD41" s="435">
        <f>IF(R41=8,'JSM Jahresdauerlinie'!$E$26,IF(CK41=0," ",CK41))</f>
        <v>9.9999999999999995E-7</v>
      </c>
      <c r="DE41" s="435">
        <f>IF(T41=8,'JSM Jahresdauerlinie'!$E$26,IF(CM41=0," ",CM41))</f>
        <v>9.9999999999999995E-7</v>
      </c>
      <c r="DF41" s="435">
        <f>IF(V41=8,'JSM Jahresdauerlinie'!$E$26,IF(CO41=0," ",CO41))</f>
        <v>9.9999999999999995E-7</v>
      </c>
      <c r="DG41" s="435">
        <f>IF(X41=8,'JSM Jahresdauerlinie'!$E$26,IF(CQ41=0," ",CQ41))</f>
        <v>9.9999999999999995E-7</v>
      </c>
      <c r="DH41" s="435">
        <f>IF(Z41=8,'JSM Jahresdauerlinie'!$E$26,IF(CS41=0," ",CS41))</f>
        <v>9.9999999999999995E-7</v>
      </c>
      <c r="DJ41" s="441">
        <f t="shared" si="50"/>
        <v>9.9999999999999995E-7</v>
      </c>
      <c r="DK41" s="441">
        <f t="shared" si="51"/>
        <v>9.9999999999999995E-7</v>
      </c>
      <c r="DL41" s="441">
        <f t="shared" si="52"/>
        <v>9.9999999999999995E-7</v>
      </c>
      <c r="DM41" s="441">
        <f t="shared" si="53"/>
        <v>9.9999999999999995E-7</v>
      </c>
      <c r="DN41" s="441">
        <f t="shared" si="54"/>
        <v>9.9999999999999995E-7</v>
      </c>
      <c r="DO41" s="441">
        <f t="shared" si="55"/>
        <v>9.9999999999999995E-7</v>
      </c>
      <c r="DP41" s="441">
        <f t="shared" si="56"/>
        <v>9.9999999999999995E-7</v>
      </c>
      <c r="DQ41" s="441">
        <f t="shared" si="57"/>
        <v>9.9999999999999995E-7</v>
      </c>
      <c r="DR41" s="441">
        <f t="shared" si="58"/>
        <v>9.9999999999999995E-7</v>
      </c>
      <c r="DS41" s="441">
        <f t="shared" si="59"/>
        <v>9.9999999999999995E-7</v>
      </c>
      <c r="DT41" s="441">
        <f t="shared" si="60"/>
        <v>9.9999999999999995E-7</v>
      </c>
      <c r="DU41" s="441">
        <f t="shared" si="23"/>
        <v>9.9999999999999995E-7</v>
      </c>
      <c r="DX41" s="435">
        <f t="shared" si="61"/>
        <v>8</v>
      </c>
      <c r="DY41" s="435">
        <f t="shared" si="24"/>
        <v>8</v>
      </c>
      <c r="DZ41" s="435">
        <f t="shared" si="25"/>
        <v>8</v>
      </c>
      <c r="EA41" s="435">
        <f t="shared" si="26"/>
        <v>8</v>
      </c>
      <c r="EB41" s="435">
        <f t="shared" si="27"/>
        <v>8</v>
      </c>
      <c r="EC41" s="435">
        <f t="shared" si="28"/>
        <v>8</v>
      </c>
      <c r="ED41" s="435">
        <f t="shared" si="62"/>
        <v>8</v>
      </c>
      <c r="EE41" s="435">
        <f t="shared" si="29"/>
        <v>8</v>
      </c>
      <c r="EF41" s="435">
        <f t="shared" si="30"/>
        <v>8</v>
      </c>
      <c r="EG41" s="435">
        <f t="shared" si="31"/>
        <v>8</v>
      </c>
      <c r="EH41" s="435">
        <f t="shared" si="32"/>
        <v>8</v>
      </c>
      <c r="EI41" s="435">
        <f t="shared" si="33"/>
        <v>8</v>
      </c>
      <c r="EK41" s="441" t="str">
        <f t="shared" si="63"/>
        <v xml:space="preserve"> </v>
      </c>
      <c r="EL41" s="441" t="str">
        <f t="shared" si="64"/>
        <v xml:space="preserve"> </v>
      </c>
      <c r="EM41" s="441" t="str">
        <f t="shared" si="63"/>
        <v xml:space="preserve"> </v>
      </c>
      <c r="EN41" s="441" t="str">
        <f t="shared" si="64"/>
        <v xml:space="preserve"> </v>
      </c>
      <c r="EO41" s="441" t="str">
        <f t="shared" si="63"/>
        <v xml:space="preserve"> </v>
      </c>
      <c r="EP41" s="441" t="str">
        <f t="shared" si="64"/>
        <v xml:space="preserve"> </v>
      </c>
      <c r="EQ41" s="441" t="str">
        <f t="shared" si="63"/>
        <v xml:space="preserve"> </v>
      </c>
      <c r="ER41" s="441" t="str">
        <f t="shared" si="64"/>
        <v xml:space="preserve"> </v>
      </c>
      <c r="ES41" s="441" t="str">
        <f t="shared" si="63"/>
        <v xml:space="preserve"> </v>
      </c>
      <c r="ET41" s="441" t="str">
        <f t="shared" si="64"/>
        <v xml:space="preserve"> </v>
      </c>
      <c r="EU41" s="441" t="str">
        <f t="shared" si="63"/>
        <v xml:space="preserve"> </v>
      </c>
      <c r="EV41" s="441" t="str">
        <f t="shared" si="64"/>
        <v xml:space="preserve"> </v>
      </c>
      <c r="EW41" s="441" t="str">
        <f t="shared" si="63"/>
        <v xml:space="preserve"> </v>
      </c>
      <c r="EX41" s="441" t="str">
        <f t="shared" si="64"/>
        <v xml:space="preserve"> </v>
      </c>
      <c r="EY41" s="441" t="str">
        <f t="shared" si="63"/>
        <v xml:space="preserve"> </v>
      </c>
      <c r="EZ41" s="441" t="str">
        <f t="shared" si="64"/>
        <v xml:space="preserve"> </v>
      </c>
      <c r="FA41" s="441" t="str">
        <f t="shared" si="63"/>
        <v xml:space="preserve"> </v>
      </c>
      <c r="FB41" s="441" t="str">
        <f t="shared" si="64"/>
        <v xml:space="preserve"> </v>
      </c>
      <c r="FC41" s="441" t="str">
        <f t="shared" si="65"/>
        <v xml:space="preserve"> </v>
      </c>
      <c r="FD41" s="441" t="str">
        <f t="shared" si="66"/>
        <v xml:space="preserve"> </v>
      </c>
      <c r="FE41" s="441" t="str">
        <f t="shared" si="65"/>
        <v xml:space="preserve"> </v>
      </c>
      <c r="FF41" s="441" t="str">
        <f t="shared" si="66"/>
        <v xml:space="preserve"> </v>
      </c>
      <c r="FG41" s="437" t="str">
        <f t="shared" si="65"/>
        <v xml:space="preserve"> </v>
      </c>
      <c r="FH41" s="441" t="str">
        <f t="shared" si="66"/>
        <v xml:space="preserve"> </v>
      </c>
    </row>
    <row r="42" spans="2:164" ht="14.25" x14ac:dyDescent="0.2">
      <c r="B42" s="210">
        <v>11</v>
      </c>
      <c r="D42" s="740"/>
      <c r="E42" s="740"/>
      <c r="F42" s="740"/>
      <c r="G42" s="740"/>
      <c r="H42" s="745"/>
      <c r="I42" s="740"/>
      <c r="J42" s="740"/>
      <c r="K42" s="740"/>
      <c r="L42" s="740"/>
      <c r="M42" s="740"/>
      <c r="N42" s="740"/>
      <c r="O42" s="740"/>
      <c r="P42" s="740"/>
      <c r="Q42" s="740"/>
      <c r="R42" s="740"/>
      <c r="S42" s="740"/>
      <c r="T42" s="740"/>
      <c r="U42" s="740"/>
      <c r="V42" s="740"/>
      <c r="W42" s="740"/>
      <c r="X42" s="741"/>
      <c r="Y42" s="740"/>
      <c r="Z42" s="745"/>
      <c r="AA42" s="740"/>
      <c r="AF42" s="413" t="str">
        <f t="shared" si="34"/>
        <v xml:space="preserve"> </v>
      </c>
      <c r="AG42" s="413" t="str">
        <f t="shared" si="0"/>
        <v xml:space="preserve"> </v>
      </c>
      <c r="AH42" s="413" t="str">
        <f t="shared" si="1"/>
        <v xml:space="preserve"> </v>
      </c>
      <c r="AI42" s="413" t="str">
        <f t="shared" si="2"/>
        <v xml:space="preserve"> </v>
      </c>
      <c r="AJ42" s="413" t="str">
        <f t="shared" si="3"/>
        <v xml:space="preserve"> </v>
      </c>
      <c r="AK42" s="413" t="str">
        <f t="shared" si="4"/>
        <v xml:space="preserve"> </v>
      </c>
      <c r="AL42" s="413" t="str">
        <f t="shared" si="5"/>
        <v xml:space="preserve"> </v>
      </c>
      <c r="AM42" s="413" t="str">
        <f t="shared" si="6"/>
        <v xml:space="preserve"> </v>
      </c>
      <c r="AN42" s="413" t="str">
        <f t="shared" si="7"/>
        <v xml:space="preserve"> </v>
      </c>
      <c r="AO42" s="413" t="str">
        <f t="shared" si="8"/>
        <v xml:space="preserve"> </v>
      </c>
      <c r="AP42" s="413" t="str">
        <f t="shared" si="9"/>
        <v xml:space="preserve"> </v>
      </c>
      <c r="AQ42" s="413" t="str">
        <f t="shared" si="10"/>
        <v xml:space="preserve"> </v>
      </c>
      <c r="AU42" s="438">
        <f t="shared" si="35"/>
        <v>0</v>
      </c>
      <c r="AV42" s="438" t="str">
        <f t="shared" si="36"/>
        <v/>
      </c>
      <c r="AW42" s="438">
        <f t="shared" si="11"/>
        <v>0</v>
      </c>
      <c r="AX42" s="438" t="str">
        <f t="shared" si="36"/>
        <v/>
      </c>
      <c r="AY42" s="438">
        <f t="shared" si="12"/>
        <v>0</v>
      </c>
      <c r="AZ42" s="438" t="str">
        <f t="shared" si="36"/>
        <v/>
      </c>
      <c r="BA42" s="438">
        <f t="shared" si="13"/>
        <v>0</v>
      </c>
      <c r="BB42" s="438" t="str">
        <f t="shared" si="36"/>
        <v/>
      </c>
      <c r="BC42" s="438">
        <f t="shared" si="14"/>
        <v>0</v>
      </c>
      <c r="BD42" s="438" t="str">
        <f t="shared" si="36"/>
        <v/>
      </c>
      <c r="BE42" s="438">
        <f t="shared" si="15"/>
        <v>0</v>
      </c>
      <c r="BF42" s="438" t="str">
        <f t="shared" si="36"/>
        <v/>
      </c>
      <c r="BG42" s="438">
        <f t="shared" si="16"/>
        <v>0</v>
      </c>
      <c r="BH42" s="438" t="str">
        <f t="shared" si="36"/>
        <v/>
      </c>
      <c r="BI42" s="438">
        <f t="shared" si="17"/>
        <v>0</v>
      </c>
      <c r="BJ42" s="438" t="str">
        <f t="shared" si="36"/>
        <v/>
      </c>
      <c r="BK42" s="438">
        <f t="shared" si="18"/>
        <v>0</v>
      </c>
      <c r="BL42" s="438" t="str">
        <f t="shared" si="36"/>
        <v/>
      </c>
      <c r="BM42" s="438">
        <f t="shared" si="19"/>
        <v>0</v>
      </c>
      <c r="BN42" s="438" t="str">
        <f t="shared" si="37"/>
        <v/>
      </c>
      <c r="BO42" s="438">
        <f t="shared" si="20"/>
        <v>0</v>
      </c>
      <c r="BP42" s="438" t="str">
        <f t="shared" si="37"/>
        <v/>
      </c>
      <c r="BQ42" s="438">
        <f t="shared" si="21"/>
        <v>0</v>
      </c>
      <c r="BR42" s="438" t="str">
        <f t="shared" si="37"/>
        <v/>
      </c>
      <c r="BV42" s="439">
        <f t="shared" si="38"/>
        <v>8</v>
      </c>
      <c r="BW42" s="439">
        <f>IF(BV42=8,'JSM Jahresdauerlinie'!$E$26,E42)</f>
        <v>9.9999999999999995E-7</v>
      </c>
      <c r="BX42" s="439">
        <f t="shared" si="39"/>
        <v>8</v>
      </c>
      <c r="BY42" s="439">
        <f>IF(BX42=8,'JSM Jahresdauerlinie'!$E$26,G42)</f>
        <v>9.9999999999999995E-7</v>
      </c>
      <c r="BZ42" s="439">
        <f t="shared" si="40"/>
        <v>8</v>
      </c>
      <c r="CA42" s="439">
        <f>IF(BZ42=8,'JSM Jahresdauerlinie'!$E$26,I42)</f>
        <v>9.9999999999999995E-7</v>
      </c>
      <c r="CB42" s="439">
        <f t="shared" si="41"/>
        <v>8</v>
      </c>
      <c r="CC42" s="439">
        <f>IF(CB42=8,'JSM Jahresdauerlinie'!$E$26,K42)</f>
        <v>9.9999999999999995E-7</v>
      </c>
      <c r="CD42" s="439">
        <f t="shared" si="42"/>
        <v>8</v>
      </c>
      <c r="CE42" s="439">
        <f>IF(CD42=8,'JSM Jahresdauerlinie'!$E$26,M42)</f>
        <v>9.9999999999999995E-7</v>
      </c>
      <c r="CF42" s="439">
        <f t="shared" si="43"/>
        <v>8</v>
      </c>
      <c r="CG42" s="439">
        <f>IF(CF42=8,'JSM Jahresdauerlinie'!$E$26,O42)</f>
        <v>9.9999999999999995E-7</v>
      </c>
      <c r="CH42" s="439">
        <f t="shared" si="44"/>
        <v>8</v>
      </c>
      <c r="CI42" s="439">
        <f>IF(CH42=8,'JSM Jahresdauerlinie'!$E$26,Q42)</f>
        <v>9.9999999999999995E-7</v>
      </c>
      <c r="CJ42" s="439">
        <f t="shared" si="45"/>
        <v>8</v>
      </c>
      <c r="CK42" s="439">
        <f>IF(CJ42=8,'JSM Jahresdauerlinie'!$E$26,S42)</f>
        <v>9.9999999999999995E-7</v>
      </c>
      <c r="CL42" s="439">
        <f t="shared" si="46"/>
        <v>8</v>
      </c>
      <c r="CM42" s="439">
        <f>IF(CL42=8,'JSM Jahresdauerlinie'!$E$26,U42)</f>
        <v>9.9999999999999995E-7</v>
      </c>
      <c r="CN42" s="439">
        <f t="shared" si="47"/>
        <v>8</v>
      </c>
      <c r="CO42" s="439">
        <f>IF(CN42=8,'JSM Jahresdauerlinie'!$E$26,W42)</f>
        <v>9.9999999999999995E-7</v>
      </c>
      <c r="CP42" s="439">
        <f t="shared" si="48"/>
        <v>8</v>
      </c>
      <c r="CQ42" s="439">
        <f>IF(CP42=8,'JSM Jahresdauerlinie'!$E$26,Y42)</f>
        <v>9.9999999999999995E-7</v>
      </c>
      <c r="CR42" s="439">
        <f t="shared" si="49"/>
        <v>8</v>
      </c>
      <c r="CS42" s="439">
        <f>IF(CR42=8,'JSM Jahresdauerlinie'!$E$26,AA42)</f>
        <v>9.9999999999999995E-7</v>
      </c>
      <c r="CT42" s="440"/>
      <c r="CW42" s="435">
        <f>IF(D42=8,'JSM Jahresdauerlinie'!$E$26,IF(BW42=0," ",BW42))</f>
        <v>9.9999999999999995E-7</v>
      </c>
      <c r="CX42" s="435">
        <f>IF(F42=8,'JSM Jahresdauerlinie'!$E$26,IF(BY42=0," ",BY42))</f>
        <v>9.9999999999999995E-7</v>
      </c>
      <c r="CY42" s="435">
        <f>IF(H42=8,'JSM Jahresdauerlinie'!$E$26,IF(CA42=0," ",CA42))</f>
        <v>9.9999999999999995E-7</v>
      </c>
      <c r="CZ42" s="435">
        <f>IF(J42=8,'JSM Jahresdauerlinie'!$E$26,IF(CC42=0," ",CC42))</f>
        <v>9.9999999999999995E-7</v>
      </c>
      <c r="DA42" s="435">
        <f>IF(L42=8,'JSM Jahresdauerlinie'!$E$26,IF(CE42=0," ",CE42))</f>
        <v>9.9999999999999995E-7</v>
      </c>
      <c r="DB42" s="435">
        <f>IF(N42=8,'JSM Jahresdauerlinie'!$E$26,IF(CG42=0," ",CG42))</f>
        <v>9.9999999999999995E-7</v>
      </c>
      <c r="DC42" s="435">
        <f>IF(P42=8,'JSM Jahresdauerlinie'!$E$26,IF(CI42=0," ",CI42))</f>
        <v>9.9999999999999995E-7</v>
      </c>
      <c r="DD42" s="435">
        <f>IF(R42=8,'JSM Jahresdauerlinie'!$E$26,IF(CK42=0," ",CK42))</f>
        <v>9.9999999999999995E-7</v>
      </c>
      <c r="DE42" s="435">
        <f>IF(T42=8,'JSM Jahresdauerlinie'!$E$26,IF(CM42=0," ",CM42))</f>
        <v>9.9999999999999995E-7</v>
      </c>
      <c r="DF42" s="435">
        <f>IF(V42=8,'JSM Jahresdauerlinie'!$E$26,IF(CO42=0," ",CO42))</f>
        <v>9.9999999999999995E-7</v>
      </c>
      <c r="DG42" s="435">
        <f>IF(X42=8,'JSM Jahresdauerlinie'!$E$26,IF(CQ42=0," ",CQ42))</f>
        <v>9.9999999999999995E-7</v>
      </c>
      <c r="DH42" s="435">
        <f>IF(Z42=8,'JSM Jahresdauerlinie'!$E$26,IF(CS42=0," ",CS42))</f>
        <v>9.9999999999999995E-7</v>
      </c>
      <c r="DJ42" s="441">
        <f t="shared" si="50"/>
        <v>9.9999999999999995E-7</v>
      </c>
      <c r="DK42" s="441">
        <f t="shared" si="51"/>
        <v>9.9999999999999995E-7</v>
      </c>
      <c r="DL42" s="441">
        <f t="shared" si="52"/>
        <v>9.9999999999999995E-7</v>
      </c>
      <c r="DM42" s="441">
        <f t="shared" si="53"/>
        <v>9.9999999999999995E-7</v>
      </c>
      <c r="DN42" s="441">
        <f t="shared" si="54"/>
        <v>9.9999999999999995E-7</v>
      </c>
      <c r="DO42" s="441">
        <f t="shared" si="55"/>
        <v>9.9999999999999995E-7</v>
      </c>
      <c r="DP42" s="441">
        <f t="shared" si="56"/>
        <v>9.9999999999999995E-7</v>
      </c>
      <c r="DQ42" s="441">
        <f t="shared" si="57"/>
        <v>9.9999999999999995E-7</v>
      </c>
      <c r="DR42" s="441">
        <f t="shared" si="58"/>
        <v>9.9999999999999995E-7</v>
      </c>
      <c r="DS42" s="441">
        <f t="shared" si="59"/>
        <v>9.9999999999999995E-7</v>
      </c>
      <c r="DT42" s="441">
        <f t="shared" si="60"/>
        <v>9.9999999999999995E-7</v>
      </c>
      <c r="DU42" s="441">
        <f t="shared" si="23"/>
        <v>9.9999999999999995E-7</v>
      </c>
      <c r="DX42" s="435">
        <f t="shared" si="61"/>
        <v>8</v>
      </c>
      <c r="DY42" s="435">
        <f t="shared" si="24"/>
        <v>8</v>
      </c>
      <c r="DZ42" s="435">
        <f t="shared" si="25"/>
        <v>8</v>
      </c>
      <c r="EA42" s="435">
        <f t="shared" si="26"/>
        <v>8</v>
      </c>
      <c r="EB42" s="435">
        <f t="shared" si="27"/>
        <v>8</v>
      </c>
      <c r="EC42" s="435">
        <f t="shared" si="28"/>
        <v>8</v>
      </c>
      <c r="ED42" s="435">
        <f t="shared" si="62"/>
        <v>8</v>
      </c>
      <c r="EE42" s="435">
        <f t="shared" si="29"/>
        <v>8</v>
      </c>
      <c r="EF42" s="435">
        <f t="shared" si="30"/>
        <v>8</v>
      </c>
      <c r="EG42" s="435">
        <f t="shared" si="31"/>
        <v>8</v>
      </c>
      <c r="EH42" s="435">
        <f t="shared" si="32"/>
        <v>8</v>
      </c>
      <c r="EI42" s="435">
        <f t="shared" si="33"/>
        <v>8</v>
      </c>
      <c r="EK42" s="441" t="str">
        <f t="shared" si="63"/>
        <v xml:space="preserve"> </v>
      </c>
      <c r="EL42" s="441" t="str">
        <f t="shared" si="64"/>
        <v xml:space="preserve"> </v>
      </c>
      <c r="EM42" s="441" t="str">
        <f t="shared" si="63"/>
        <v xml:space="preserve"> </v>
      </c>
      <c r="EN42" s="441" t="str">
        <f t="shared" si="64"/>
        <v xml:space="preserve"> </v>
      </c>
      <c r="EO42" s="441" t="str">
        <f t="shared" si="63"/>
        <v xml:space="preserve"> </v>
      </c>
      <c r="EP42" s="441" t="str">
        <f t="shared" si="64"/>
        <v xml:space="preserve"> </v>
      </c>
      <c r="EQ42" s="441" t="str">
        <f t="shared" si="63"/>
        <v xml:space="preserve"> </v>
      </c>
      <c r="ER42" s="441" t="str">
        <f t="shared" si="64"/>
        <v xml:space="preserve"> </v>
      </c>
      <c r="ES42" s="441" t="str">
        <f t="shared" si="63"/>
        <v xml:space="preserve"> </v>
      </c>
      <c r="ET42" s="441" t="str">
        <f t="shared" si="64"/>
        <v xml:space="preserve"> </v>
      </c>
      <c r="EU42" s="441" t="str">
        <f t="shared" si="63"/>
        <v xml:space="preserve"> </v>
      </c>
      <c r="EV42" s="441" t="str">
        <f t="shared" si="64"/>
        <v xml:space="preserve"> </v>
      </c>
      <c r="EW42" s="441" t="str">
        <f t="shared" si="63"/>
        <v xml:space="preserve"> </v>
      </c>
      <c r="EX42" s="441" t="str">
        <f t="shared" si="64"/>
        <v xml:space="preserve"> </v>
      </c>
      <c r="EY42" s="441" t="str">
        <f t="shared" si="63"/>
        <v xml:space="preserve"> </v>
      </c>
      <c r="EZ42" s="441" t="str">
        <f t="shared" si="64"/>
        <v xml:space="preserve"> </v>
      </c>
      <c r="FA42" s="441" t="str">
        <f t="shared" si="63"/>
        <v xml:space="preserve"> </v>
      </c>
      <c r="FB42" s="441" t="str">
        <f t="shared" si="64"/>
        <v xml:space="preserve"> </v>
      </c>
      <c r="FC42" s="441" t="str">
        <f t="shared" si="65"/>
        <v xml:space="preserve"> </v>
      </c>
      <c r="FD42" s="441" t="str">
        <f t="shared" si="66"/>
        <v xml:space="preserve"> </v>
      </c>
      <c r="FE42" s="441" t="str">
        <f t="shared" si="65"/>
        <v xml:space="preserve"> </v>
      </c>
      <c r="FF42" s="441" t="str">
        <f t="shared" si="66"/>
        <v xml:space="preserve"> </v>
      </c>
      <c r="FG42" s="437" t="str">
        <f t="shared" si="65"/>
        <v xml:space="preserve"> </v>
      </c>
      <c r="FH42" s="441" t="str">
        <f t="shared" si="66"/>
        <v xml:space="preserve"> </v>
      </c>
    </row>
    <row r="43" spans="2:164" ht="14.25" x14ac:dyDescent="0.2">
      <c r="B43" s="210">
        <v>12</v>
      </c>
      <c r="D43" s="740"/>
      <c r="E43" s="740"/>
      <c r="F43" s="740"/>
      <c r="G43" s="740"/>
      <c r="H43" s="745"/>
      <c r="I43" s="740"/>
      <c r="J43" s="740"/>
      <c r="K43" s="740"/>
      <c r="L43" s="740"/>
      <c r="M43" s="740"/>
      <c r="N43" s="740"/>
      <c r="O43" s="740"/>
      <c r="P43" s="745"/>
      <c r="Q43" s="740"/>
      <c r="R43" s="740"/>
      <c r="S43" s="740"/>
      <c r="T43" s="740"/>
      <c r="U43" s="740"/>
      <c r="V43" s="740"/>
      <c r="W43" s="740"/>
      <c r="X43" s="741"/>
      <c r="Y43" s="740"/>
      <c r="Z43" s="740"/>
      <c r="AA43" s="740"/>
      <c r="AF43" s="413" t="str">
        <f t="shared" si="34"/>
        <v xml:space="preserve"> </v>
      </c>
      <c r="AG43" s="413" t="str">
        <f t="shared" si="0"/>
        <v xml:space="preserve"> </v>
      </c>
      <c r="AH43" s="413" t="str">
        <f t="shared" si="1"/>
        <v xml:space="preserve"> </v>
      </c>
      <c r="AI43" s="413" t="str">
        <f t="shared" si="2"/>
        <v xml:space="preserve"> </v>
      </c>
      <c r="AJ43" s="413" t="str">
        <f t="shared" si="3"/>
        <v xml:space="preserve"> </v>
      </c>
      <c r="AK43" s="413" t="str">
        <f t="shared" si="4"/>
        <v xml:space="preserve"> </v>
      </c>
      <c r="AL43" s="413" t="str">
        <f t="shared" si="5"/>
        <v xml:space="preserve"> </v>
      </c>
      <c r="AM43" s="413" t="str">
        <f t="shared" si="6"/>
        <v xml:space="preserve"> </v>
      </c>
      <c r="AN43" s="413" t="str">
        <f t="shared" si="7"/>
        <v xml:space="preserve"> </v>
      </c>
      <c r="AO43" s="413" t="str">
        <f t="shared" si="8"/>
        <v xml:space="preserve"> </v>
      </c>
      <c r="AP43" s="413" t="str">
        <f t="shared" si="9"/>
        <v xml:space="preserve"> </v>
      </c>
      <c r="AQ43" s="413" t="str">
        <f t="shared" si="10"/>
        <v xml:space="preserve"> </v>
      </c>
      <c r="AU43" s="438">
        <f t="shared" si="35"/>
        <v>0</v>
      </c>
      <c r="AV43" s="438" t="str">
        <f t="shared" si="36"/>
        <v/>
      </c>
      <c r="AW43" s="438">
        <f t="shared" si="11"/>
        <v>0</v>
      </c>
      <c r="AX43" s="438" t="str">
        <f t="shared" si="36"/>
        <v/>
      </c>
      <c r="AY43" s="438">
        <f t="shared" ref="AY43:AY62" si="67">H43</f>
        <v>0</v>
      </c>
      <c r="AZ43" s="438" t="str">
        <f t="shared" si="36"/>
        <v/>
      </c>
      <c r="BA43" s="438">
        <f t="shared" ref="BA43:BA62" si="68">J43</f>
        <v>0</v>
      </c>
      <c r="BB43" s="438" t="str">
        <f t="shared" si="36"/>
        <v/>
      </c>
      <c r="BC43" s="438">
        <f t="shared" ref="BC43:BC62" si="69">L43</f>
        <v>0</v>
      </c>
      <c r="BD43" s="438" t="str">
        <f t="shared" si="36"/>
        <v/>
      </c>
      <c r="BE43" s="438">
        <f t="shared" ref="BE43:BE62" si="70">N43</f>
        <v>0</v>
      </c>
      <c r="BF43" s="438" t="str">
        <f t="shared" si="36"/>
        <v/>
      </c>
      <c r="BG43" s="438">
        <f t="shared" ref="BG43:BG62" si="71">P43</f>
        <v>0</v>
      </c>
      <c r="BH43" s="438" t="str">
        <f t="shared" si="36"/>
        <v/>
      </c>
      <c r="BI43" s="438">
        <f t="shared" ref="BI43:BI62" si="72">R43</f>
        <v>0</v>
      </c>
      <c r="BJ43" s="438" t="str">
        <f t="shared" si="36"/>
        <v/>
      </c>
      <c r="BK43" s="438">
        <f t="shared" ref="BK43:BK62" si="73">T43</f>
        <v>0</v>
      </c>
      <c r="BL43" s="438" t="str">
        <f t="shared" si="36"/>
        <v/>
      </c>
      <c r="BM43" s="438">
        <f t="shared" ref="BM43:BM62" si="74">V43</f>
        <v>0</v>
      </c>
      <c r="BN43" s="438" t="str">
        <f t="shared" si="37"/>
        <v/>
      </c>
      <c r="BO43" s="438">
        <f t="shared" ref="BO43:BO62" si="75">X43</f>
        <v>0</v>
      </c>
      <c r="BP43" s="438" t="str">
        <f t="shared" si="37"/>
        <v/>
      </c>
      <c r="BQ43" s="438">
        <f t="shared" ref="BQ43:BQ62" si="76">Z43</f>
        <v>0</v>
      </c>
      <c r="BR43" s="438" t="str">
        <f t="shared" si="37"/>
        <v/>
      </c>
      <c r="BV43" s="439">
        <f t="shared" si="38"/>
        <v>8</v>
      </c>
      <c r="BW43" s="439">
        <f>IF(BV43=8,'JSM Jahresdauerlinie'!$E$26,E43)</f>
        <v>9.9999999999999995E-7</v>
      </c>
      <c r="BX43" s="439">
        <f t="shared" si="39"/>
        <v>8</v>
      </c>
      <c r="BY43" s="439">
        <f>IF(BX43=8,'JSM Jahresdauerlinie'!$E$26,G43)</f>
        <v>9.9999999999999995E-7</v>
      </c>
      <c r="BZ43" s="439">
        <f t="shared" si="40"/>
        <v>8</v>
      </c>
      <c r="CA43" s="439">
        <f>IF(BZ43=8,'JSM Jahresdauerlinie'!$E$26,I43)</f>
        <v>9.9999999999999995E-7</v>
      </c>
      <c r="CB43" s="439">
        <f t="shared" si="41"/>
        <v>8</v>
      </c>
      <c r="CC43" s="439">
        <f>IF(CB43=8,'JSM Jahresdauerlinie'!$E$26,K43)</f>
        <v>9.9999999999999995E-7</v>
      </c>
      <c r="CD43" s="439">
        <f t="shared" si="42"/>
        <v>8</v>
      </c>
      <c r="CE43" s="439">
        <f>IF(CD43=8,'JSM Jahresdauerlinie'!$E$26,M43)</f>
        <v>9.9999999999999995E-7</v>
      </c>
      <c r="CF43" s="439">
        <f t="shared" si="43"/>
        <v>8</v>
      </c>
      <c r="CG43" s="439">
        <f>IF(CF43=8,'JSM Jahresdauerlinie'!$E$26,O43)</f>
        <v>9.9999999999999995E-7</v>
      </c>
      <c r="CH43" s="439">
        <f t="shared" si="44"/>
        <v>8</v>
      </c>
      <c r="CI43" s="439">
        <f>IF(CH43=8,'JSM Jahresdauerlinie'!$E$26,Q43)</f>
        <v>9.9999999999999995E-7</v>
      </c>
      <c r="CJ43" s="439">
        <f t="shared" si="45"/>
        <v>8</v>
      </c>
      <c r="CK43" s="439">
        <f>IF(CJ43=8,'JSM Jahresdauerlinie'!$E$26,S43)</f>
        <v>9.9999999999999995E-7</v>
      </c>
      <c r="CL43" s="439">
        <f t="shared" si="46"/>
        <v>8</v>
      </c>
      <c r="CM43" s="439">
        <f>IF(CL43=8,'JSM Jahresdauerlinie'!$E$26,U43)</f>
        <v>9.9999999999999995E-7</v>
      </c>
      <c r="CN43" s="439">
        <f t="shared" si="47"/>
        <v>8</v>
      </c>
      <c r="CO43" s="439">
        <f>IF(CN43=8,'JSM Jahresdauerlinie'!$E$26,W43)</f>
        <v>9.9999999999999995E-7</v>
      </c>
      <c r="CP43" s="439">
        <f t="shared" si="48"/>
        <v>8</v>
      </c>
      <c r="CQ43" s="439">
        <f>IF(CP43=8,'JSM Jahresdauerlinie'!$E$26,Y43)</f>
        <v>9.9999999999999995E-7</v>
      </c>
      <c r="CR43" s="439">
        <f t="shared" si="49"/>
        <v>8</v>
      </c>
      <c r="CS43" s="439">
        <f>IF(CR43=8,'JSM Jahresdauerlinie'!$E$26,AA43)</f>
        <v>9.9999999999999995E-7</v>
      </c>
      <c r="CT43" s="440"/>
      <c r="CW43" s="435">
        <f>IF(D43=8,'JSM Jahresdauerlinie'!$E$26,IF(BW43=0," ",BW43))</f>
        <v>9.9999999999999995E-7</v>
      </c>
      <c r="CX43" s="435">
        <f>IF(F43=8,'JSM Jahresdauerlinie'!$E$26,IF(BY43=0," ",BY43))</f>
        <v>9.9999999999999995E-7</v>
      </c>
      <c r="CY43" s="435">
        <f>IF(H43=8,'JSM Jahresdauerlinie'!$E$26,IF(CA43=0," ",CA43))</f>
        <v>9.9999999999999995E-7</v>
      </c>
      <c r="CZ43" s="435">
        <f>IF(J43=8,'JSM Jahresdauerlinie'!$E$26,IF(CC43=0," ",CC43))</f>
        <v>9.9999999999999995E-7</v>
      </c>
      <c r="DA43" s="435">
        <f>IF(L43=8,'JSM Jahresdauerlinie'!$E$26,IF(CE43=0," ",CE43))</f>
        <v>9.9999999999999995E-7</v>
      </c>
      <c r="DB43" s="435">
        <f>IF(N43=8,'JSM Jahresdauerlinie'!$E$26,IF(CG43=0," ",CG43))</f>
        <v>9.9999999999999995E-7</v>
      </c>
      <c r="DC43" s="435">
        <f>IF(P43=8,'JSM Jahresdauerlinie'!$E$26,IF(CI43=0," ",CI43))</f>
        <v>9.9999999999999995E-7</v>
      </c>
      <c r="DD43" s="435">
        <f>IF(R43=8,'JSM Jahresdauerlinie'!$E$26,IF(CK43=0," ",CK43))</f>
        <v>9.9999999999999995E-7</v>
      </c>
      <c r="DE43" s="435">
        <f>IF(T43=8,'JSM Jahresdauerlinie'!$E$26,IF(CM43=0," ",CM43))</f>
        <v>9.9999999999999995E-7</v>
      </c>
      <c r="DF43" s="435">
        <f>IF(V43=8,'JSM Jahresdauerlinie'!$E$26,IF(CO43=0," ",CO43))</f>
        <v>9.9999999999999995E-7</v>
      </c>
      <c r="DG43" s="435">
        <f>IF(X43=8,'JSM Jahresdauerlinie'!$E$26,IF(CQ43=0," ",CQ43))</f>
        <v>9.9999999999999995E-7</v>
      </c>
      <c r="DH43" s="435">
        <f>IF(Z43=8,'JSM Jahresdauerlinie'!$E$26,IF(CS43=0," ",CS43))</f>
        <v>9.9999999999999995E-7</v>
      </c>
      <c r="DJ43" s="441">
        <f t="shared" si="50"/>
        <v>9.9999999999999995E-7</v>
      </c>
      <c r="DK43" s="441">
        <f t="shared" si="51"/>
        <v>9.9999999999999995E-7</v>
      </c>
      <c r="DL43" s="441">
        <f t="shared" si="52"/>
        <v>9.9999999999999995E-7</v>
      </c>
      <c r="DM43" s="441">
        <f t="shared" si="53"/>
        <v>9.9999999999999995E-7</v>
      </c>
      <c r="DN43" s="441">
        <f t="shared" si="54"/>
        <v>9.9999999999999995E-7</v>
      </c>
      <c r="DO43" s="441">
        <f t="shared" si="55"/>
        <v>9.9999999999999995E-7</v>
      </c>
      <c r="DP43" s="441">
        <f t="shared" si="56"/>
        <v>9.9999999999999995E-7</v>
      </c>
      <c r="DQ43" s="441">
        <f t="shared" si="57"/>
        <v>9.9999999999999995E-7</v>
      </c>
      <c r="DR43" s="441">
        <f t="shared" si="58"/>
        <v>9.9999999999999995E-7</v>
      </c>
      <c r="DS43" s="441">
        <f t="shared" si="59"/>
        <v>9.9999999999999995E-7</v>
      </c>
      <c r="DT43" s="441">
        <f t="shared" si="60"/>
        <v>9.9999999999999995E-7</v>
      </c>
      <c r="DU43" s="441">
        <f t="shared" si="23"/>
        <v>9.9999999999999995E-7</v>
      </c>
      <c r="DX43" s="435">
        <f t="shared" si="61"/>
        <v>8</v>
      </c>
      <c r="DY43" s="435">
        <f t="shared" si="24"/>
        <v>8</v>
      </c>
      <c r="DZ43" s="435">
        <f t="shared" si="25"/>
        <v>8</v>
      </c>
      <c r="EA43" s="435">
        <f t="shared" si="26"/>
        <v>8</v>
      </c>
      <c r="EB43" s="435">
        <f t="shared" si="27"/>
        <v>8</v>
      </c>
      <c r="EC43" s="435">
        <f t="shared" si="28"/>
        <v>8</v>
      </c>
      <c r="ED43" s="435">
        <f t="shared" si="62"/>
        <v>8</v>
      </c>
      <c r="EE43" s="435">
        <f t="shared" si="29"/>
        <v>8</v>
      </c>
      <c r="EF43" s="435">
        <f t="shared" si="30"/>
        <v>8</v>
      </c>
      <c r="EG43" s="435">
        <f t="shared" si="31"/>
        <v>8</v>
      </c>
      <c r="EH43" s="435">
        <f t="shared" si="32"/>
        <v>8</v>
      </c>
      <c r="EI43" s="435">
        <f t="shared" si="33"/>
        <v>8</v>
      </c>
      <c r="EK43" s="441" t="str">
        <f t="shared" si="63"/>
        <v xml:space="preserve"> </v>
      </c>
      <c r="EL43" s="441" t="str">
        <f t="shared" si="64"/>
        <v xml:space="preserve"> </v>
      </c>
      <c r="EM43" s="441" t="str">
        <f t="shared" si="63"/>
        <v xml:space="preserve"> </v>
      </c>
      <c r="EN43" s="441" t="str">
        <f t="shared" si="64"/>
        <v xml:space="preserve"> </v>
      </c>
      <c r="EO43" s="441" t="str">
        <f t="shared" si="63"/>
        <v xml:space="preserve"> </v>
      </c>
      <c r="EP43" s="441" t="str">
        <f t="shared" si="64"/>
        <v xml:space="preserve"> </v>
      </c>
      <c r="EQ43" s="441" t="str">
        <f t="shared" si="63"/>
        <v xml:space="preserve"> </v>
      </c>
      <c r="ER43" s="441" t="str">
        <f t="shared" si="64"/>
        <v xml:space="preserve"> </v>
      </c>
      <c r="ES43" s="441" t="str">
        <f t="shared" si="63"/>
        <v xml:space="preserve"> </v>
      </c>
      <c r="ET43" s="441" t="str">
        <f t="shared" si="64"/>
        <v xml:space="preserve"> </v>
      </c>
      <c r="EU43" s="441" t="str">
        <f t="shared" si="63"/>
        <v xml:space="preserve"> </v>
      </c>
      <c r="EV43" s="441" t="str">
        <f t="shared" si="64"/>
        <v xml:space="preserve"> </v>
      </c>
      <c r="EW43" s="441" t="str">
        <f t="shared" si="63"/>
        <v xml:space="preserve"> </v>
      </c>
      <c r="EX43" s="441" t="str">
        <f t="shared" si="64"/>
        <v xml:space="preserve"> </v>
      </c>
      <c r="EY43" s="441" t="str">
        <f t="shared" si="63"/>
        <v xml:space="preserve"> </v>
      </c>
      <c r="EZ43" s="441" t="str">
        <f t="shared" si="64"/>
        <v xml:space="preserve"> </v>
      </c>
      <c r="FA43" s="441" t="str">
        <f t="shared" si="63"/>
        <v xml:space="preserve"> </v>
      </c>
      <c r="FB43" s="441" t="str">
        <f t="shared" si="64"/>
        <v xml:space="preserve"> </v>
      </c>
      <c r="FC43" s="441" t="str">
        <f t="shared" si="65"/>
        <v xml:space="preserve"> </v>
      </c>
      <c r="FD43" s="441" t="str">
        <f t="shared" si="66"/>
        <v xml:space="preserve"> </v>
      </c>
      <c r="FE43" s="441" t="str">
        <f t="shared" si="65"/>
        <v xml:space="preserve"> </v>
      </c>
      <c r="FF43" s="441" t="str">
        <f t="shared" si="66"/>
        <v xml:space="preserve"> </v>
      </c>
      <c r="FG43" s="437" t="str">
        <f t="shared" si="65"/>
        <v xml:space="preserve"> </v>
      </c>
      <c r="FH43" s="441" t="str">
        <f t="shared" si="66"/>
        <v xml:space="preserve"> </v>
      </c>
    </row>
    <row r="44" spans="2:164" ht="14.25" x14ac:dyDescent="0.2">
      <c r="B44" s="210">
        <v>13</v>
      </c>
      <c r="D44" s="740"/>
      <c r="E44" s="740"/>
      <c r="F44" s="740"/>
      <c r="G44" s="740"/>
      <c r="H44" s="740"/>
      <c r="I44" s="740"/>
      <c r="J44" s="740"/>
      <c r="K44" s="740"/>
      <c r="L44" s="740"/>
      <c r="M44" s="740"/>
      <c r="N44" s="740"/>
      <c r="O44" s="740"/>
      <c r="P44" s="740"/>
      <c r="Q44" s="740"/>
      <c r="R44" s="740"/>
      <c r="S44" s="740"/>
      <c r="T44" s="740"/>
      <c r="U44" s="740"/>
      <c r="V44" s="740"/>
      <c r="W44" s="740"/>
      <c r="X44" s="741"/>
      <c r="Y44" s="740"/>
      <c r="Z44" s="740"/>
      <c r="AA44" s="740"/>
      <c r="AF44" s="413" t="str">
        <f t="shared" si="34"/>
        <v xml:space="preserve"> </v>
      </c>
      <c r="AG44" s="413" t="str">
        <f t="shared" si="0"/>
        <v xml:space="preserve"> </v>
      </c>
      <c r="AH44" s="413" t="str">
        <f t="shared" si="1"/>
        <v xml:space="preserve"> </v>
      </c>
      <c r="AI44" s="413" t="str">
        <f t="shared" si="2"/>
        <v xml:space="preserve"> </v>
      </c>
      <c r="AJ44" s="413" t="str">
        <f t="shared" si="3"/>
        <v xml:space="preserve"> </v>
      </c>
      <c r="AK44" s="413" t="str">
        <f t="shared" si="4"/>
        <v xml:space="preserve"> </v>
      </c>
      <c r="AL44" s="413" t="str">
        <f t="shared" si="5"/>
        <v xml:space="preserve"> </v>
      </c>
      <c r="AM44" s="413" t="str">
        <f t="shared" si="6"/>
        <v xml:space="preserve"> </v>
      </c>
      <c r="AN44" s="413" t="str">
        <f t="shared" si="7"/>
        <v xml:space="preserve"> </v>
      </c>
      <c r="AO44" s="413" t="str">
        <f t="shared" si="8"/>
        <v xml:space="preserve"> </v>
      </c>
      <c r="AP44" s="413" t="str">
        <f t="shared" si="9"/>
        <v xml:space="preserve"> </v>
      </c>
      <c r="AQ44" s="413" t="str">
        <f t="shared" si="10"/>
        <v xml:space="preserve"> </v>
      </c>
      <c r="AU44" s="438">
        <f t="shared" si="35"/>
        <v>0</v>
      </c>
      <c r="AV44" s="438" t="str">
        <f t="shared" si="36"/>
        <v/>
      </c>
      <c r="AW44" s="438">
        <f t="shared" ref="AW44:AW62" si="77">F44</f>
        <v>0</v>
      </c>
      <c r="AX44" s="438" t="str">
        <f t="shared" si="36"/>
        <v/>
      </c>
      <c r="AY44" s="438">
        <f t="shared" si="67"/>
        <v>0</v>
      </c>
      <c r="AZ44" s="438" t="str">
        <f t="shared" si="36"/>
        <v/>
      </c>
      <c r="BA44" s="438">
        <f t="shared" si="68"/>
        <v>0</v>
      </c>
      <c r="BB44" s="438" t="str">
        <f t="shared" si="36"/>
        <v/>
      </c>
      <c r="BC44" s="438">
        <f t="shared" si="69"/>
        <v>0</v>
      </c>
      <c r="BD44" s="438" t="str">
        <f t="shared" si="36"/>
        <v/>
      </c>
      <c r="BE44" s="438">
        <f t="shared" si="70"/>
        <v>0</v>
      </c>
      <c r="BF44" s="438" t="str">
        <f t="shared" si="36"/>
        <v/>
      </c>
      <c r="BG44" s="438">
        <f t="shared" si="71"/>
        <v>0</v>
      </c>
      <c r="BH44" s="438" t="str">
        <f t="shared" si="36"/>
        <v/>
      </c>
      <c r="BI44" s="438">
        <f t="shared" si="72"/>
        <v>0</v>
      </c>
      <c r="BJ44" s="438" t="str">
        <f t="shared" si="36"/>
        <v/>
      </c>
      <c r="BK44" s="438">
        <f t="shared" si="73"/>
        <v>0</v>
      </c>
      <c r="BL44" s="438" t="str">
        <f t="shared" si="36"/>
        <v/>
      </c>
      <c r="BM44" s="438">
        <f t="shared" si="74"/>
        <v>0</v>
      </c>
      <c r="BN44" s="438" t="str">
        <f t="shared" si="37"/>
        <v/>
      </c>
      <c r="BO44" s="438">
        <f t="shared" si="75"/>
        <v>0</v>
      </c>
      <c r="BP44" s="438" t="str">
        <f t="shared" si="37"/>
        <v/>
      </c>
      <c r="BQ44" s="438">
        <f t="shared" si="76"/>
        <v>0</v>
      </c>
      <c r="BR44" s="438" t="str">
        <f t="shared" si="37"/>
        <v/>
      </c>
      <c r="BV44" s="439">
        <f t="shared" si="38"/>
        <v>8</v>
      </c>
      <c r="BW44" s="439">
        <f>IF(BV44=8,'JSM Jahresdauerlinie'!$E$26,E44)</f>
        <v>9.9999999999999995E-7</v>
      </c>
      <c r="BX44" s="439">
        <f t="shared" si="39"/>
        <v>8</v>
      </c>
      <c r="BY44" s="439">
        <f>IF(BX44=8,'JSM Jahresdauerlinie'!$E$26,G44)</f>
        <v>9.9999999999999995E-7</v>
      </c>
      <c r="BZ44" s="439">
        <f t="shared" si="40"/>
        <v>8</v>
      </c>
      <c r="CA44" s="439">
        <f>IF(BZ44=8,'JSM Jahresdauerlinie'!$E$26,I44)</f>
        <v>9.9999999999999995E-7</v>
      </c>
      <c r="CB44" s="439">
        <f t="shared" si="41"/>
        <v>8</v>
      </c>
      <c r="CC44" s="439">
        <f>IF(CB44=8,'JSM Jahresdauerlinie'!$E$26,K44)</f>
        <v>9.9999999999999995E-7</v>
      </c>
      <c r="CD44" s="439">
        <f t="shared" si="42"/>
        <v>8</v>
      </c>
      <c r="CE44" s="439">
        <f>IF(CD44=8,'JSM Jahresdauerlinie'!$E$26,M44)</f>
        <v>9.9999999999999995E-7</v>
      </c>
      <c r="CF44" s="439">
        <f t="shared" si="43"/>
        <v>8</v>
      </c>
      <c r="CG44" s="439">
        <f>IF(CF44=8,'JSM Jahresdauerlinie'!$E$26,O44)</f>
        <v>9.9999999999999995E-7</v>
      </c>
      <c r="CH44" s="439">
        <f t="shared" si="44"/>
        <v>8</v>
      </c>
      <c r="CI44" s="439">
        <f>IF(CH44=8,'JSM Jahresdauerlinie'!$E$26,Q44)</f>
        <v>9.9999999999999995E-7</v>
      </c>
      <c r="CJ44" s="439">
        <f t="shared" si="45"/>
        <v>8</v>
      </c>
      <c r="CK44" s="439">
        <f>IF(CJ44=8,'JSM Jahresdauerlinie'!$E$26,S44)</f>
        <v>9.9999999999999995E-7</v>
      </c>
      <c r="CL44" s="439">
        <f t="shared" si="46"/>
        <v>8</v>
      </c>
      <c r="CM44" s="439">
        <f>IF(CL44=8,'JSM Jahresdauerlinie'!$E$26,U44)</f>
        <v>9.9999999999999995E-7</v>
      </c>
      <c r="CN44" s="439">
        <f t="shared" si="47"/>
        <v>8</v>
      </c>
      <c r="CO44" s="439">
        <f>IF(CN44=8,'JSM Jahresdauerlinie'!$E$26,W44)</f>
        <v>9.9999999999999995E-7</v>
      </c>
      <c r="CP44" s="439">
        <f t="shared" si="48"/>
        <v>8</v>
      </c>
      <c r="CQ44" s="439">
        <f>IF(CP44=8,'JSM Jahresdauerlinie'!$E$26,Y44)</f>
        <v>9.9999999999999995E-7</v>
      </c>
      <c r="CR44" s="439">
        <f t="shared" si="49"/>
        <v>8</v>
      </c>
      <c r="CS44" s="439">
        <f>IF(CR44=8,'JSM Jahresdauerlinie'!$E$26,AA44)</f>
        <v>9.9999999999999995E-7</v>
      </c>
      <c r="CT44" s="440"/>
      <c r="CW44" s="435">
        <f>IF(D44=8,'JSM Jahresdauerlinie'!$E$26,IF(BW44=0," ",BW44))</f>
        <v>9.9999999999999995E-7</v>
      </c>
      <c r="CX44" s="435">
        <f>IF(F44=8,'JSM Jahresdauerlinie'!$E$26,IF(BY44=0," ",BY44))</f>
        <v>9.9999999999999995E-7</v>
      </c>
      <c r="CY44" s="435">
        <f>IF(H44=8,'JSM Jahresdauerlinie'!$E$26,IF(CA44=0," ",CA44))</f>
        <v>9.9999999999999995E-7</v>
      </c>
      <c r="CZ44" s="435">
        <f>IF(J44=8,'JSM Jahresdauerlinie'!$E$26,IF(CC44=0," ",CC44))</f>
        <v>9.9999999999999995E-7</v>
      </c>
      <c r="DA44" s="435">
        <f>IF(L44=8,'JSM Jahresdauerlinie'!$E$26,IF(CE44=0," ",CE44))</f>
        <v>9.9999999999999995E-7</v>
      </c>
      <c r="DB44" s="435">
        <f>IF(N44=8,'JSM Jahresdauerlinie'!$E$26,IF(CG44=0," ",CG44))</f>
        <v>9.9999999999999995E-7</v>
      </c>
      <c r="DC44" s="435">
        <f>IF(P44=8,'JSM Jahresdauerlinie'!$E$26,IF(CI44=0," ",CI44))</f>
        <v>9.9999999999999995E-7</v>
      </c>
      <c r="DD44" s="435">
        <f>IF(R44=8,'JSM Jahresdauerlinie'!$E$26,IF(CK44=0," ",CK44))</f>
        <v>9.9999999999999995E-7</v>
      </c>
      <c r="DE44" s="435">
        <f>IF(T44=8,'JSM Jahresdauerlinie'!$E$26,IF(CM44=0," ",CM44))</f>
        <v>9.9999999999999995E-7</v>
      </c>
      <c r="DF44" s="435">
        <f>IF(V44=8,'JSM Jahresdauerlinie'!$E$26,IF(CO44=0," ",CO44))</f>
        <v>9.9999999999999995E-7</v>
      </c>
      <c r="DG44" s="435">
        <f>IF(X44=8,'JSM Jahresdauerlinie'!$E$26,IF(CQ44=0," ",CQ44))</f>
        <v>9.9999999999999995E-7</v>
      </c>
      <c r="DH44" s="435">
        <f>IF(Z44=8,'JSM Jahresdauerlinie'!$E$26,IF(CS44=0," ",CS44))</f>
        <v>9.9999999999999995E-7</v>
      </c>
      <c r="DJ44" s="441">
        <f t="shared" si="50"/>
        <v>9.9999999999999995E-7</v>
      </c>
      <c r="DK44" s="441">
        <f t="shared" si="51"/>
        <v>9.9999999999999995E-7</v>
      </c>
      <c r="DL44" s="441">
        <f t="shared" si="52"/>
        <v>9.9999999999999995E-7</v>
      </c>
      <c r="DM44" s="441">
        <f t="shared" si="53"/>
        <v>9.9999999999999995E-7</v>
      </c>
      <c r="DN44" s="441">
        <f t="shared" si="54"/>
        <v>9.9999999999999995E-7</v>
      </c>
      <c r="DO44" s="441">
        <f t="shared" si="55"/>
        <v>9.9999999999999995E-7</v>
      </c>
      <c r="DP44" s="441">
        <f t="shared" si="56"/>
        <v>9.9999999999999995E-7</v>
      </c>
      <c r="DQ44" s="441">
        <f t="shared" si="57"/>
        <v>9.9999999999999995E-7</v>
      </c>
      <c r="DR44" s="441">
        <f t="shared" si="58"/>
        <v>9.9999999999999995E-7</v>
      </c>
      <c r="DS44" s="441">
        <f t="shared" si="59"/>
        <v>9.9999999999999995E-7</v>
      </c>
      <c r="DT44" s="441">
        <f t="shared" si="60"/>
        <v>9.9999999999999995E-7</v>
      </c>
      <c r="DU44" s="441">
        <f t="shared" si="23"/>
        <v>9.9999999999999995E-7</v>
      </c>
      <c r="DX44" s="435">
        <f t="shared" si="61"/>
        <v>8</v>
      </c>
      <c r="DY44" s="435">
        <f t="shared" si="24"/>
        <v>8</v>
      </c>
      <c r="DZ44" s="435">
        <f t="shared" si="25"/>
        <v>8</v>
      </c>
      <c r="EA44" s="435">
        <f t="shared" si="26"/>
        <v>8</v>
      </c>
      <c r="EB44" s="435">
        <f t="shared" si="27"/>
        <v>8</v>
      </c>
      <c r="EC44" s="435">
        <f t="shared" si="28"/>
        <v>8</v>
      </c>
      <c r="ED44" s="435">
        <f t="shared" si="62"/>
        <v>8</v>
      </c>
      <c r="EE44" s="435">
        <f t="shared" si="29"/>
        <v>8</v>
      </c>
      <c r="EF44" s="435">
        <f t="shared" si="30"/>
        <v>8</v>
      </c>
      <c r="EG44" s="435">
        <f t="shared" si="31"/>
        <v>8</v>
      </c>
      <c r="EH44" s="435">
        <f t="shared" si="32"/>
        <v>8</v>
      </c>
      <c r="EI44" s="435">
        <f t="shared" si="33"/>
        <v>8</v>
      </c>
      <c r="EK44" s="441" t="str">
        <f t="shared" si="63"/>
        <v xml:space="preserve"> </v>
      </c>
      <c r="EL44" s="441" t="str">
        <f t="shared" si="64"/>
        <v xml:space="preserve"> </v>
      </c>
      <c r="EM44" s="441" t="str">
        <f t="shared" si="63"/>
        <v xml:space="preserve"> </v>
      </c>
      <c r="EN44" s="441" t="str">
        <f t="shared" si="64"/>
        <v xml:space="preserve"> </v>
      </c>
      <c r="EO44" s="441" t="str">
        <f t="shared" si="63"/>
        <v xml:space="preserve"> </v>
      </c>
      <c r="EP44" s="441" t="str">
        <f t="shared" si="64"/>
        <v xml:space="preserve"> </v>
      </c>
      <c r="EQ44" s="441" t="str">
        <f t="shared" si="63"/>
        <v xml:space="preserve"> </v>
      </c>
      <c r="ER44" s="441" t="str">
        <f t="shared" si="64"/>
        <v xml:space="preserve"> </v>
      </c>
      <c r="ES44" s="441" t="str">
        <f t="shared" si="63"/>
        <v xml:space="preserve"> </v>
      </c>
      <c r="ET44" s="441" t="str">
        <f t="shared" si="64"/>
        <v xml:space="preserve"> </v>
      </c>
      <c r="EU44" s="441" t="str">
        <f t="shared" si="63"/>
        <v xml:space="preserve"> </v>
      </c>
      <c r="EV44" s="441" t="str">
        <f t="shared" si="64"/>
        <v xml:space="preserve"> </v>
      </c>
      <c r="EW44" s="441" t="str">
        <f t="shared" si="63"/>
        <v xml:space="preserve"> </v>
      </c>
      <c r="EX44" s="441" t="str">
        <f t="shared" si="64"/>
        <v xml:space="preserve"> </v>
      </c>
      <c r="EY44" s="441" t="str">
        <f t="shared" si="63"/>
        <v xml:space="preserve"> </v>
      </c>
      <c r="EZ44" s="441" t="str">
        <f t="shared" si="64"/>
        <v xml:space="preserve"> </v>
      </c>
      <c r="FA44" s="441" t="str">
        <f t="shared" si="63"/>
        <v xml:space="preserve"> </v>
      </c>
      <c r="FB44" s="441" t="str">
        <f t="shared" si="64"/>
        <v xml:space="preserve"> </v>
      </c>
      <c r="FC44" s="441" t="str">
        <f t="shared" si="65"/>
        <v xml:space="preserve"> </v>
      </c>
      <c r="FD44" s="441" t="str">
        <f t="shared" si="66"/>
        <v xml:space="preserve"> </v>
      </c>
      <c r="FE44" s="441" t="str">
        <f t="shared" si="65"/>
        <v xml:space="preserve"> </v>
      </c>
      <c r="FF44" s="441" t="str">
        <f t="shared" si="66"/>
        <v xml:space="preserve"> </v>
      </c>
      <c r="FG44" s="437" t="str">
        <f t="shared" si="65"/>
        <v xml:space="preserve"> </v>
      </c>
      <c r="FH44" s="441" t="str">
        <f t="shared" si="66"/>
        <v xml:space="preserve"> </v>
      </c>
    </row>
    <row r="45" spans="2:164" ht="14.25" x14ac:dyDescent="0.2">
      <c r="B45" s="210">
        <v>14</v>
      </c>
      <c r="D45" s="740"/>
      <c r="E45" s="740"/>
      <c r="F45" s="740"/>
      <c r="G45" s="740"/>
      <c r="H45" s="745"/>
      <c r="I45" s="740"/>
      <c r="J45" s="740"/>
      <c r="K45" s="740"/>
      <c r="L45" s="740"/>
      <c r="M45" s="740"/>
      <c r="N45" s="740"/>
      <c r="O45" s="740"/>
      <c r="P45" s="740"/>
      <c r="Q45" s="740"/>
      <c r="R45" s="740"/>
      <c r="S45" s="740"/>
      <c r="T45" s="740"/>
      <c r="U45" s="740"/>
      <c r="V45" s="740"/>
      <c r="W45" s="740"/>
      <c r="X45" s="741"/>
      <c r="Y45" s="740"/>
      <c r="Z45" s="740"/>
      <c r="AA45" s="740"/>
      <c r="AF45" s="413" t="str">
        <f t="shared" si="34"/>
        <v xml:space="preserve"> </v>
      </c>
      <c r="AG45" s="413" t="str">
        <f t="shared" si="0"/>
        <v xml:space="preserve"> </v>
      </c>
      <c r="AH45" s="413" t="str">
        <f t="shared" si="1"/>
        <v xml:space="preserve"> </v>
      </c>
      <c r="AI45" s="413" t="str">
        <f t="shared" si="2"/>
        <v xml:space="preserve"> </v>
      </c>
      <c r="AJ45" s="413" t="str">
        <f t="shared" si="3"/>
        <v xml:space="preserve"> </v>
      </c>
      <c r="AK45" s="413" t="str">
        <f t="shared" si="4"/>
        <v xml:space="preserve"> </v>
      </c>
      <c r="AL45" s="413" t="str">
        <f t="shared" si="5"/>
        <v xml:space="preserve"> </v>
      </c>
      <c r="AM45" s="413" t="str">
        <f t="shared" si="6"/>
        <v xml:space="preserve"> </v>
      </c>
      <c r="AN45" s="413" t="str">
        <f t="shared" si="7"/>
        <v xml:space="preserve"> </v>
      </c>
      <c r="AO45" s="413" t="str">
        <f t="shared" si="8"/>
        <v xml:space="preserve"> </v>
      </c>
      <c r="AP45" s="413" t="str">
        <f t="shared" si="9"/>
        <v xml:space="preserve"> </v>
      </c>
      <c r="AQ45" s="413" t="str">
        <f t="shared" si="10"/>
        <v xml:space="preserve"> </v>
      </c>
      <c r="AU45" s="438">
        <f t="shared" si="35"/>
        <v>0</v>
      </c>
      <c r="AV45" s="438" t="str">
        <f t="shared" si="36"/>
        <v/>
      </c>
      <c r="AW45" s="438">
        <f t="shared" si="77"/>
        <v>0</v>
      </c>
      <c r="AX45" s="438" t="str">
        <f t="shared" si="36"/>
        <v/>
      </c>
      <c r="AY45" s="438">
        <f t="shared" si="67"/>
        <v>0</v>
      </c>
      <c r="AZ45" s="438" t="str">
        <f t="shared" si="36"/>
        <v/>
      </c>
      <c r="BA45" s="438">
        <f t="shared" si="68"/>
        <v>0</v>
      </c>
      <c r="BB45" s="438" t="str">
        <f t="shared" si="36"/>
        <v/>
      </c>
      <c r="BC45" s="438">
        <f t="shared" si="69"/>
        <v>0</v>
      </c>
      <c r="BD45" s="438" t="str">
        <f t="shared" si="36"/>
        <v/>
      </c>
      <c r="BE45" s="438">
        <f t="shared" si="70"/>
        <v>0</v>
      </c>
      <c r="BF45" s="438" t="str">
        <f t="shared" si="36"/>
        <v/>
      </c>
      <c r="BG45" s="438">
        <f t="shared" si="71"/>
        <v>0</v>
      </c>
      <c r="BH45" s="438" t="str">
        <f t="shared" si="36"/>
        <v/>
      </c>
      <c r="BI45" s="438">
        <f t="shared" si="72"/>
        <v>0</v>
      </c>
      <c r="BJ45" s="438" t="str">
        <f t="shared" si="36"/>
        <v/>
      </c>
      <c r="BK45" s="438">
        <f t="shared" si="73"/>
        <v>0</v>
      </c>
      <c r="BL45" s="438" t="str">
        <f t="shared" si="36"/>
        <v/>
      </c>
      <c r="BM45" s="438">
        <f t="shared" si="74"/>
        <v>0</v>
      </c>
      <c r="BN45" s="438" t="str">
        <f t="shared" si="37"/>
        <v/>
      </c>
      <c r="BO45" s="438">
        <f t="shared" si="75"/>
        <v>0</v>
      </c>
      <c r="BP45" s="438" t="str">
        <f t="shared" si="37"/>
        <v/>
      </c>
      <c r="BQ45" s="438">
        <f t="shared" si="76"/>
        <v>0</v>
      </c>
      <c r="BR45" s="438" t="str">
        <f t="shared" si="37"/>
        <v/>
      </c>
      <c r="BV45" s="439">
        <f t="shared" si="38"/>
        <v>8</v>
      </c>
      <c r="BW45" s="439">
        <f>IF(BV45=8,'JSM Jahresdauerlinie'!$E$26,E45)</f>
        <v>9.9999999999999995E-7</v>
      </c>
      <c r="BX45" s="439">
        <f t="shared" si="39"/>
        <v>8</v>
      </c>
      <c r="BY45" s="439">
        <f>IF(BX45=8,'JSM Jahresdauerlinie'!$E$26,G45)</f>
        <v>9.9999999999999995E-7</v>
      </c>
      <c r="BZ45" s="439">
        <f t="shared" si="40"/>
        <v>8</v>
      </c>
      <c r="CA45" s="439">
        <f>IF(BZ45=8,'JSM Jahresdauerlinie'!$E$26,I45)</f>
        <v>9.9999999999999995E-7</v>
      </c>
      <c r="CB45" s="439">
        <f t="shared" si="41"/>
        <v>8</v>
      </c>
      <c r="CC45" s="439">
        <f>IF(CB45=8,'JSM Jahresdauerlinie'!$E$26,K45)</f>
        <v>9.9999999999999995E-7</v>
      </c>
      <c r="CD45" s="439">
        <f t="shared" si="42"/>
        <v>8</v>
      </c>
      <c r="CE45" s="439">
        <f>IF(CD45=8,'JSM Jahresdauerlinie'!$E$26,M45)</f>
        <v>9.9999999999999995E-7</v>
      </c>
      <c r="CF45" s="439">
        <f t="shared" si="43"/>
        <v>8</v>
      </c>
      <c r="CG45" s="439">
        <f>IF(CF45=8,'JSM Jahresdauerlinie'!$E$26,O45)</f>
        <v>9.9999999999999995E-7</v>
      </c>
      <c r="CH45" s="439">
        <f t="shared" si="44"/>
        <v>8</v>
      </c>
      <c r="CI45" s="439">
        <f>IF(CH45=8,'JSM Jahresdauerlinie'!$E$26,Q45)</f>
        <v>9.9999999999999995E-7</v>
      </c>
      <c r="CJ45" s="439">
        <f t="shared" si="45"/>
        <v>8</v>
      </c>
      <c r="CK45" s="439">
        <f>IF(CJ45=8,'JSM Jahresdauerlinie'!$E$26,S45)</f>
        <v>9.9999999999999995E-7</v>
      </c>
      <c r="CL45" s="439">
        <f t="shared" si="46"/>
        <v>8</v>
      </c>
      <c r="CM45" s="439">
        <f>IF(CL45=8,'JSM Jahresdauerlinie'!$E$26,U45)</f>
        <v>9.9999999999999995E-7</v>
      </c>
      <c r="CN45" s="439">
        <f t="shared" si="47"/>
        <v>8</v>
      </c>
      <c r="CO45" s="439">
        <f>IF(CN45=8,'JSM Jahresdauerlinie'!$E$26,W45)</f>
        <v>9.9999999999999995E-7</v>
      </c>
      <c r="CP45" s="439">
        <f t="shared" si="48"/>
        <v>8</v>
      </c>
      <c r="CQ45" s="439">
        <f>IF(CP45=8,'JSM Jahresdauerlinie'!$E$26,Y45)</f>
        <v>9.9999999999999995E-7</v>
      </c>
      <c r="CR45" s="439">
        <f t="shared" si="49"/>
        <v>8</v>
      </c>
      <c r="CS45" s="439">
        <f>IF(CR45=8,'JSM Jahresdauerlinie'!$E$26,AA45)</f>
        <v>9.9999999999999995E-7</v>
      </c>
      <c r="CT45" s="440"/>
      <c r="CW45" s="435">
        <f>IF(D45=8,'JSM Jahresdauerlinie'!$E$26,IF(BW45=0," ",BW45))</f>
        <v>9.9999999999999995E-7</v>
      </c>
      <c r="CX45" s="435">
        <f>IF(F45=8,'JSM Jahresdauerlinie'!$E$26,IF(BY45=0," ",BY45))</f>
        <v>9.9999999999999995E-7</v>
      </c>
      <c r="CY45" s="435">
        <f>IF(H45=8,'JSM Jahresdauerlinie'!$E$26,IF(CA45=0," ",CA45))</f>
        <v>9.9999999999999995E-7</v>
      </c>
      <c r="CZ45" s="435">
        <f>IF(J45=8,'JSM Jahresdauerlinie'!$E$26,IF(CC45=0," ",CC45))</f>
        <v>9.9999999999999995E-7</v>
      </c>
      <c r="DA45" s="435">
        <f>IF(L45=8,'JSM Jahresdauerlinie'!$E$26,IF(CE45=0," ",CE45))</f>
        <v>9.9999999999999995E-7</v>
      </c>
      <c r="DB45" s="435">
        <f>IF(N45=8,'JSM Jahresdauerlinie'!$E$26,IF(CG45=0," ",CG45))</f>
        <v>9.9999999999999995E-7</v>
      </c>
      <c r="DC45" s="435">
        <f>IF(P45=8,'JSM Jahresdauerlinie'!$E$26,IF(CI45=0," ",CI45))</f>
        <v>9.9999999999999995E-7</v>
      </c>
      <c r="DD45" s="435">
        <f>IF(R45=8,'JSM Jahresdauerlinie'!$E$26,IF(CK45=0," ",CK45))</f>
        <v>9.9999999999999995E-7</v>
      </c>
      <c r="DE45" s="435">
        <f>IF(T45=8,'JSM Jahresdauerlinie'!$E$26,IF(CM45=0," ",CM45))</f>
        <v>9.9999999999999995E-7</v>
      </c>
      <c r="DF45" s="435">
        <f>IF(V45=8,'JSM Jahresdauerlinie'!$E$26,IF(CO45=0," ",CO45))</f>
        <v>9.9999999999999995E-7</v>
      </c>
      <c r="DG45" s="435">
        <f>IF(X45=8,'JSM Jahresdauerlinie'!$E$26,IF(CQ45=0," ",CQ45))</f>
        <v>9.9999999999999995E-7</v>
      </c>
      <c r="DH45" s="435">
        <f>IF(Z45=8,'JSM Jahresdauerlinie'!$E$26,IF(CS45=0," ",CS45))</f>
        <v>9.9999999999999995E-7</v>
      </c>
      <c r="DJ45" s="441">
        <f t="shared" si="50"/>
        <v>9.9999999999999995E-7</v>
      </c>
      <c r="DK45" s="441">
        <f t="shared" si="51"/>
        <v>9.9999999999999995E-7</v>
      </c>
      <c r="DL45" s="441">
        <f t="shared" si="52"/>
        <v>9.9999999999999995E-7</v>
      </c>
      <c r="DM45" s="441">
        <f t="shared" si="53"/>
        <v>9.9999999999999995E-7</v>
      </c>
      <c r="DN45" s="441">
        <f t="shared" si="54"/>
        <v>9.9999999999999995E-7</v>
      </c>
      <c r="DO45" s="441">
        <f t="shared" si="55"/>
        <v>9.9999999999999995E-7</v>
      </c>
      <c r="DP45" s="441">
        <f t="shared" si="56"/>
        <v>9.9999999999999995E-7</v>
      </c>
      <c r="DQ45" s="441">
        <f t="shared" si="57"/>
        <v>9.9999999999999995E-7</v>
      </c>
      <c r="DR45" s="441">
        <f t="shared" si="58"/>
        <v>9.9999999999999995E-7</v>
      </c>
      <c r="DS45" s="441">
        <f t="shared" si="59"/>
        <v>9.9999999999999995E-7</v>
      </c>
      <c r="DT45" s="441">
        <f t="shared" si="60"/>
        <v>9.9999999999999995E-7</v>
      </c>
      <c r="DU45" s="441">
        <f t="shared" si="23"/>
        <v>9.9999999999999995E-7</v>
      </c>
      <c r="DX45" s="435">
        <f t="shared" si="61"/>
        <v>8</v>
      </c>
      <c r="DY45" s="435">
        <f t="shared" si="24"/>
        <v>8</v>
      </c>
      <c r="DZ45" s="435">
        <f t="shared" si="25"/>
        <v>8</v>
      </c>
      <c r="EA45" s="435">
        <f t="shared" si="26"/>
        <v>8</v>
      </c>
      <c r="EB45" s="435">
        <f t="shared" si="27"/>
        <v>8</v>
      </c>
      <c r="EC45" s="435">
        <f t="shared" si="28"/>
        <v>8</v>
      </c>
      <c r="ED45" s="435">
        <f t="shared" si="62"/>
        <v>8</v>
      </c>
      <c r="EE45" s="435">
        <f t="shared" si="29"/>
        <v>8</v>
      </c>
      <c r="EF45" s="435">
        <f t="shared" si="30"/>
        <v>8</v>
      </c>
      <c r="EG45" s="435">
        <f t="shared" si="31"/>
        <v>8</v>
      </c>
      <c r="EH45" s="435">
        <f t="shared" si="32"/>
        <v>8</v>
      </c>
      <c r="EI45" s="435">
        <f t="shared" si="33"/>
        <v>8</v>
      </c>
      <c r="EK45" s="441" t="str">
        <f t="shared" si="63"/>
        <v xml:space="preserve"> </v>
      </c>
      <c r="EL45" s="441" t="str">
        <f t="shared" si="64"/>
        <v xml:space="preserve"> </v>
      </c>
      <c r="EM45" s="441" t="str">
        <f t="shared" si="63"/>
        <v xml:space="preserve"> </v>
      </c>
      <c r="EN45" s="441" t="str">
        <f t="shared" si="64"/>
        <v xml:space="preserve"> </v>
      </c>
      <c r="EO45" s="441" t="str">
        <f t="shared" si="63"/>
        <v xml:space="preserve"> </v>
      </c>
      <c r="EP45" s="441" t="str">
        <f t="shared" si="64"/>
        <v xml:space="preserve"> </v>
      </c>
      <c r="EQ45" s="441" t="str">
        <f t="shared" si="63"/>
        <v xml:space="preserve"> </v>
      </c>
      <c r="ER45" s="441" t="str">
        <f t="shared" si="64"/>
        <v xml:space="preserve"> </v>
      </c>
      <c r="ES45" s="441" t="str">
        <f t="shared" si="63"/>
        <v xml:space="preserve"> </v>
      </c>
      <c r="ET45" s="441" t="str">
        <f t="shared" si="64"/>
        <v xml:space="preserve"> </v>
      </c>
      <c r="EU45" s="441" t="str">
        <f t="shared" si="63"/>
        <v xml:space="preserve"> </v>
      </c>
      <c r="EV45" s="441" t="str">
        <f t="shared" si="64"/>
        <v xml:space="preserve"> </v>
      </c>
      <c r="EW45" s="441" t="str">
        <f t="shared" si="63"/>
        <v xml:space="preserve"> </v>
      </c>
      <c r="EX45" s="441" t="str">
        <f t="shared" si="64"/>
        <v xml:space="preserve"> </v>
      </c>
      <c r="EY45" s="441" t="str">
        <f t="shared" si="63"/>
        <v xml:space="preserve"> </v>
      </c>
      <c r="EZ45" s="441" t="str">
        <f t="shared" si="64"/>
        <v xml:space="preserve"> </v>
      </c>
      <c r="FA45" s="441" t="str">
        <f t="shared" si="63"/>
        <v xml:space="preserve"> </v>
      </c>
      <c r="FB45" s="441" t="str">
        <f t="shared" si="64"/>
        <v xml:space="preserve"> </v>
      </c>
      <c r="FC45" s="441" t="str">
        <f t="shared" si="65"/>
        <v xml:space="preserve"> </v>
      </c>
      <c r="FD45" s="441" t="str">
        <f t="shared" si="66"/>
        <v xml:space="preserve"> </v>
      </c>
      <c r="FE45" s="441" t="str">
        <f t="shared" si="65"/>
        <v xml:space="preserve"> </v>
      </c>
      <c r="FF45" s="441" t="str">
        <f t="shared" si="66"/>
        <v xml:space="preserve"> </v>
      </c>
      <c r="FG45" s="437" t="str">
        <f t="shared" si="65"/>
        <v xml:space="preserve"> </v>
      </c>
      <c r="FH45" s="441" t="str">
        <f t="shared" si="66"/>
        <v xml:space="preserve"> </v>
      </c>
    </row>
    <row r="46" spans="2:164" ht="14.25" x14ac:dyDescent="0.2">
      <c r="B46" s="210">
        <v>15</v>
      </c>
      <c r="D46" s="740"/>
      <c r="E46" s="740"/>
      <c r="F46" s="745"/>
      <c r="G46" s="740"/>
      <c r="H46" s="740"/>
      <c r="I46" s="740"/>
      <c r="J46" s="740"/>
      <c r="K46" s="740"/>
      <c r="L46" s="740"/>
      <c r="M46" s="740"/>
      <c r="N46" s="740"/>
      <c r="O46" s="740"/>
      <c r="P46" s="740"/>
      <c r="Q46" s="740"/>
      <c r="R46" s="740"/>
      <c r="S46" s="740"/>
      <c r="T46" s="740"/>
      <c r="U46" s="740"/>
      <c r="V46" s="740"/>
      <c r="W46" s="740"/>
      <c r="X46" s="741"/>
      <c r="Y46" s="740"/>
      <c r="Z46" s="740"/>
      <c r="AA46" s="740"/>
      <c r="AF46" s="413" t="str">
        <f t="shared" si="34"/>
        <v xml:space="preserve"> </v>
      </c>
      <c r="AG46" s="413" t="str">
        <f t="shared" si="0"/>
        <v xml:space="preserve"> </v>
      </c>
      <c r="AH46" s="413" t="str">
        <f t="shared" si="1"/>
        <v xml:space="preserve"> </v>
      </c>
      <c r="AI46" s="413" t="str">
        <f t="shared" si="2"/>
        <v xml:space="preserve"> </v>
      </c>
      <c r="AJ46" s="413" t="str">
        <f t="shared" si="3"/>
        <v xml:space="preserve"> </v>
      </c>
      <c r="AK46" s="413" t="str">
        <f t="shared" si="4"/>
        <v xml:space="preserve"> </v>
      </c>
      <c r="AL46" s="413" t="str">
        <f t="shared" si="5"/>
        <v xml:space="preserve"> </v>
      </c>
      <c r="AM46" s="413" t="str">
        <f t="shared" si="6"/>
        <v xml:space="preserve"> </v>
      </c>
      <c r="AN46" s="413" t="str">
        <f t="shared" si="7"/>
        <v xml:space="preserve"> </v>
      </c>
      <c r="AO46" s="413" t="str">
        <f t="shared" si="8"/>
        <v xml:space="preserve"> </v>
      </c>
      <c r="AP46" s="413" t="str">
        <f t="shared" si="9"/>
        <v xml:space="preserve"> </v>
      </c>
      <c r="AQ46" s="413" t="str">
        <f t="shared" si="10"/>
        <v xml:space="preserve"> </v>
      </c>
      <c r="AU46" s="438">
        <f t="shared" si="35"/>
        <v>0</v>
      </c>
      <c r="AV46" s="438" t="str">
        <f t="shared" si="36"/>
        <v/>
      </c>
      <c r="AW46" s="438">
        <f t="shared" si="77"/>
        <v>0</v>
      </c>
      <c r="AX46" s="438" t="str">
        <f t="shared" si="36"/>
        <v/>
      </c>
      <c r="AY46" s="438">
        <f t="shared" si="67"/>
        <v>0</v>
      </c>
      <c r="AZ46" s="438" t="str">
        <f t="shared" si="36"/>
        <v/>
      </c>
      <c r="BA46" s="438">
        <f t="shared" si="68"/>
        <v>0</v>
      </c>
      <c r="BB46" s="438" t="str">
        <f t="shared" si="36"/>
        <v/>
      </c>
      <c r="BC46" s="438">
        <f t="shared" si="69"/>
        <v>0</v>
      </c>
      <c r="BD46" s="438" t="str">
        <f t="shared" si="36"/>
        <v/>
      </c>
      <c r="BE46" s="438">
        <f t="shared" si="70"/>
        <v>0</v>
      </c>
      <c r="BF46" s="438" t="str">
        <f t="shared" si="36"/>
        <v/>
      </c>
      <c r="BG46" s="438">
        <f t="shared" si="71"/>
        <v>0</v>
      </c>
      <c r="BH46" s="438" t="str">
        <f t="shared" si="36"/>
        <v/>
      </c>
      <c r="BI46" s="438">
        <f t="shared" si="72"/>
        <v>0</v>
      </c>
      <c r="BJ46" s="438" t="str">
        <f t="shared" si="36"/>
        <v/>
      </c>
      <c r="BK46" s="438">
        <f t="shared" si="73"/>
        <v>0</v>
      </c>
      <c r="BL46" s="438" t="str">
        <f t="shared" si="36"/>
        <v/>
      </c>
      <c r="BM46" s="438">
        <f t="shared" si="74"/>
        <v>0</v>
      </c>
      <c r="BN46" s="438" t="str">
        <f t="shared" si="37"/>
        <v/>
      </c>
      <c r="BO46" s="438">
        <f t="shared" si="75"/>
        <v>0</v>
      </c>
      <c r="BP46" s="438" t="str">
        <f t="shared" si="37"/>
        <v/>
      </c>
      <c r="BQ46" s="438">
        <f t="shared" si="76"/>
        <v>0</v>
      </c>
      <c r="BR46" s="438" t="str">
        <f t="shared" si="37"/>
        <v/>
      </c>
      <c r="BV46" s="439">
        <f t="shared" si="38"/>
        <v>8</v>
      </c>
      <c r="BW46" s="439">
        <f>IF(BV46=8,'JSM Jahresdauerlinie'!$E$26,E46)</f>
        <v>9.9999999999999995E-7</v>
      </c>
      <c r="BX46" s="439">
        <f t="shared" si="39"/>
        <v>8</v>
      </c>
      <c r="BY46" s="439">
        <f>IF(BX46=8,'JSM Jahresdauerlinie'!$E$26,G46)</f>
        <v>9.9999999999999995E-7</v>
      </c>
      <c r="BZ46" s="439">
        <f t="shared" si="40"/>
        <v>8</v>
      </c>
      <c r="CA46" s="439">
        <f>IF(BZ46=8,'JSM Jahresdauerlinie'!$E$26,I46)</f>
        <v>9.9999999999999995E-7</v>
      </c>
      <c r="CB46" s="439">
        <f t="shared" si="41"/>
        <v>8</v>
      </c>
      <c r="CC46" s="439">
        <f>IF(CB46=8,'JSM Jahresdauerlinie'!$E$26,K46)</f>
        <v>9.9999999999999995E-7</v>
      </c>
      <c r="CD46" s="439">
        <f t="shared" si="42"/>
        <v>8</v>
      </c>
      <c r="CE46" s="439">
        <f>IF(CD46=8,'JSM Jahresdauerlinie'!$E$26,M46)</f>
        <v>9.9999999999999995E-7</v>
      </c>
      <c r="CF46" s="439">
        <f t="shared" si="43"/>
        <v>8</v>
      </c>
      <c r="CG46" s="439">
        <f>IF(CF46=8,'JSM Jahresdauerlinie'!$E$26,O46)</f>
        <v>9.9999999999999995E-7</v>
      </c>
      <c r="CH46" s="439">
        <f t="shared" si="44"/>
        <v>8</v>
      </c>
      <c r="CI46" s="439">
        <f>IF(CH46=8,'JSM Jahresdauerlinie'!$E$26,Q46)</f>
        <v>9.9999999999999995E-7</v>
      </c>
      <c r="CJ46" s="439">
        <f t="shared" si="45"/>
        <v>8</v>
      </c>
      <c r="CK46" s="439">
        <f>IF(CJ46=8,'JSM Jahresdauerlinie'!$E$26,S46)</f>
        <v>9.9999999999999995E-7</v>
      </c>
      <c r="CL46" s="439">
        <f t="shared" si="46"/>
        <v>8</v>
      </c>
      <c r="CM46" s="439">
        <f>IF(CL46=8,'JSM Jahresdauerlinie'!$E$26,U46)</f>
        <v>9.9999999999999995E-7</v>
      </c>
      <c r="CN46" s="439">
        <f t="shared" si="47"/>
        <v>8</v>
      </c>
      <c r="CO46" s="439">
        <f>IF(CN46=8,'JSM Jahresdauerlinie'!$E$26,W46)</f>
        <v>9.9999999999999995E-7</v>
      </c>
      <c r="CP46" s="439">
        <f t="shared" si="48"/>
        <v>8</v>
      </c>
      <c r="CQ46" s="439">
        <f>IF(CP46=8,'JSM Jahresdauerlinie'!$E$26,Y46)</f>
        <v>9.9999999999999995E-7</v>
      </c>
      <c r="CR46" s="439">
        <f t="shared" si="49"/>
        <v>8</v>
      </c>
      <c r="CS46" s="439">
        <f>IF(CR46=8,'JSM Jahresdauerlinie'!$E$26,AA46)</f>
        <v>9.9999999999999995E-7</v>
      </c>
      <c r="CT46" s="440"/>
      <c r="CW46" s="435">
        <f>IF(D46=8,'JSM Jahresdauerlinie'!$E$26,IF(BW46=0," ",BW46))</f>
        <v>9.9999999999999995E-7</v>
      </c>
      <c r="CX46" s="435">
        <f>IF(F46=8,'JSM Jahresdauerlinie'!$E$26,IF(BY46=0," ",BY46))</f>
        <v>9.9999999999999995E-7</v>
      </c>
      <c r="CY46" s="435">
        <f>IF(H46=8,'JSM Jahresdauerlinie'!$E$26,IF(CA46=0," ",CA46))</f>
        <v>9.9999999999999995E-7</v>
      </c>
      <c r="CZ46" s="435">
        <f>IF(J46=8,'JSM Jahresdauerlinie'!$E$26,IF(CC46=0," ",CC46))</f>
        <v>9.9999999999999995E-7</v>
      </c>
      <c r="DA46" s="435">
        <f>IF(L46=8,'JSM Jahresdauerlinie'!$E$26,IF(CE46=0," ",CE46))</f>
        <v>9.9999999999999995E-7</v>
      </c>
      <c r="DB46" s="435">
        <f>IF(N46=8,'JSM Jahresdauerlinie'!$E$26,IF(CG46=0," ",CG46))</f>
        <v>9.9999999999999995E-7</v>
      </c>
      <c r="DC46" s="435">
        <f>IF(P46=8,'JSM Jahresdauerlinie'!$E$26,IF(CI46=0," ",CI46))</f>
        <v>9.9999999999999995E-7</v>
      </c>
      <c r="DD46" s="435">
        <f>IF(R46=8,'JSM Jahresdauerlinie'!$E$26,IF(CK46=0," ",CK46))</f>
        <v>9.9999999999999995E-7</v>
      </c>
      <c r="DE46" s="435">
        <f>IF(T46=8,'JSM Jahresdauerlinie'!$E$26,IF(CM46=0," ",CM46))</f>
        <v>9.9999999999999995E-7</v>
      </c>
      <c r="DF46" s="435">
        <f>IF(V46=8,'JSM Jahresdauerlinie'!$E$26,IF(CO46=0," ",CO46))</f>
        <v>9.9999999999999995E-7</v>
      </c>
      <c r="DG46" s="435">
        <f>IF(X46=8,'JSM Jahresdauerlinie'!$E$26,IF(CQ46=0," ",CQ46))</f>
        <v>9.9999999999999995E-7</v>
      </c>
      <c r="DH46" s="435">
        <f>IF(Z46=8,'JSM Jahresdauerlinie'!$E$26,IF(CS46=0," ",CS46))</f>
        <v>9.9999999999999995E-7</v>
      </c>
      <c r="DJ46" s="441">
        <f t="shared" si="50"/>
        <v>9.9999999999999995E-7</v>
      </c>
      <c r="DK46" s="441">
        <f t="shared" si="51"/>
        <v>9.9999999999999995E-7</v>
      </c>
      <c r="DL46" s="441">
        <f t="shared" si="52"/>
        <v>9.9999999999999995E-7</v>
      </c>
      <c r="DM46" s="441">
        <f t="shared" si="53"/>
        <v>9.9999999999999995E-7</v>
      </c>
      <c r="DN46" s="441">
        <f t="shared" si="54"/>
        <v>9.9999999999999995E-7</v>
      </c>
      <c r="DO46" s="441">
        <f t="shared" si="55"/>
        <v>9.9999999999999995E-7</v>
      </c>
      <c r="DP46" s="441">
        <f t="shared" si="56"/>
        <v>9.9999999999999995E-7</v>
      </c>
      <c r="DQ46" s="441">
        <f t="shared" si="57"/>
        <v>9.9999999999999995E-7</v>
      </c>
      <c r="DR46" s="441">
        <f t="shared" si="58"/>
        <v>9.9999999999999995E-7</v>
      </c>
      <c r="DS46" s="441">
        <f t="shared" si="59"/>
        <v>9.9999999999999995E-7</v>
      </c>
      <c r="DT46" s="441">
        <f t="shared" si="60"/>
        <v>9.9999999999999995E-7</v>
      </c>
      <c r="DU46" s="441">
        <f t="shared" si="23"/>
        <v>9.9999999999999995E-7</v>
      </c>
      <c r="DX46" s="435">
        <f t="shared" si="61"/>
        <v>8</v>
      </c>
      <c r="DY46" s="435">
        <f t="shared" si="24"/>
        <v>8</v>
      </c>
      <c r="DZ46" s="435">
        <f t="shared" si="25"/>
        <v>8</v>
      </c>
      <c r="EA46" s="435">
        <f t="shared" si="26"/>
        <v>8</v>
      </c>
      <c r="EB46" s="435">
        <f t="shared" si="27"/>
        <v>8</v>
      </c>
      <c r="EC46" s="435">
        <f t="shared" si="28"/>
        <v>8</v>
      </c>
      <c r="ED46" s="435">
        <f t="shared" si="62"/>
        <v>8</v>
      </c>
      <c r="EE46" s="435">
        <f t="shared" si="29"/>
        <v>8</v>
      </c>
      <c r="EF46" s="435">
        <f t="shared" si="30"/>
        <v>8</v>
      </c>
      <c r="EG46" s="435">
        <f t="shared" si="31"/>
        <v>8</v>
      </c>
      <c r="EH46" s="435">
        <f t="shared" si="32"/>
        <v>8</v>
      </c>
      <c r="EI46" s="435">
        <f t="shared" si="33"/>
        <v>8</v>
      </c>
      <c r="EK46" s="441" t="str">
        <f t="shared" si="63"/>
        <v xml:space="preserve"> </v>
      </c>
      <c r="EL46" s="441" t="str">
        <f t="shared" si="64"/>
        <v xml:space="preserve"> </v>
      </c>
      <c r="EM46" s="441" t="str">
        <f t="shared" si="63"/>
        <v xml:space="preserve"> </v>
      </c>
      <c r="EN46" s="441" t="str">
        <f t="shared" si="64"/>
        <v xml:space="preserve"> </v>
      </c>
      <c r="EO46" s="441" t="str">
        <f t="shared" si="63"/>
        <v xml:space="preserve"> </v>
      </c>
      <c r="EP46" s="441" t="str">
        <f t="shared" si="64"/>
        <v xml:space="preserve"> </v>
      </c>
      <c r="EQ46" s="441" t="str">
        <f t="shared" si="63"/>
        <v xml:space="preserve"> </v>
      </c>
      <c r="ER46" s="441" t="str">
        <f t="shared" si="64"/>
        <v xml:space="preserve"> </v>
      </c>
      <c r="ES46" s="441" t="str">
        <f t="shared" si="63"/>
        <v xml:space="preserve"> </v>
      </c>
      <c r="ET46" s="441" t="str">
        <f t="shared" si="64"/>
        <v xml:space="preserve"> </v>
      </c>
      <c r="EU46" s="441" t="str">
        <f t="shared" si="63"/>
        <v xml:space="preserve"> </v>
      </c>
      <c r="EV46" s="441" t="str">
        <f t="shared" si="64"/>
        <v xml:space="preserve"> </v>
      </c>
      <c r="EW46" s="441" t="str">
        <f t="shared" si="63"/>
        <v xml:space="preserve"> </v>
      </c>
      <c r="EX46" s="441" t="str">
        <f t="shared" si="64"/>
        <v xml:space="preserve"> </v>
      </c>
      <c r="EY46" s="441" t="str">
        <f t="shared" si="63"/>
        <v xml:space="preserve"> </v>
      </c>
      <c r="EZ46" s="441" t="str">
        <f t="shared" si="64"/>
        <v xml:space="preserve"> </v>
      </c>
      <c r="FA46" s="441" t="str">
        <f t="shared" si="63"/>
        <v xml:space="preserve"> </v>
      </c>
      <c r="FB46" s="441" t="str">
        <f t="shared" si="64"/>
        <v xml:space="preserve"> </v>
      </c>
      <c r="FC46" s="441" t="str">
        <f t="shared" si="65"/>
        <v xml:space="preserve"> </v>
      </c>
      <c r="FD46" s="441" t="str">
        <f t="shared" si="66"/>
        <v xml:space="preserve"> </v>
      </c>
      <c r="FE46" s="441" t="str">
        <f t="shared" si="65"/>
        <v xml:space="preserve"> </v>
      </c>
      <c r="FF46" s="441" t="str">
        <f t="shared" si="66"/>
        <v xml:space="preserve"> </v>
      </c>
      <c r="FG46" s="437" t="str">
        <f t="shared" si="65"/>
        <v xml:space="preserve"> </v>
      </c>
      <c r="FH46" s="441" t="str">
        <f t="shared" si="66"/>
        <v xml:space="preserve"> </v>
      </c>
    </row>
    <row r="47" spans="2:164" ht="14.25" x14ac:dyDescent="0.2">
      <c r="B47" s="210">
        <v>16</v>
      </c>
      <c r="D47" s="740"/>
      <c r="E47" s="740"/>
      <c r="F47" s="740"/>
      <c r="G47" s="740"/>
      <c r="H47" s="740"/>
      <c r="I47" s="740"/>
      <c r="J47" s="740"/>
      <c r="K47" s="740"/>
      <c r="L47" s="740"/>
      <c r="M47" s="740"/>
      <c r="N47" s="740"/>
      <c r="O47" s="740"/>
      <c r="P47" s="740"/>
      <c r="Q47" s="740"/>
      <c r="R47" s="740"/>
      <c r="S47" s="740"/>
      <c r="T47" s="740"/>
      <c r="U47" s="740"/>
      <c r="V47" s="740"/>
      <c r="W47" s="740"/>
      <c r="X47" s="741"/>
      <c r="Y47" s="740"/>
      <c r="Z47" s="740"/>
      <c r="AA47" s="740"/>
      <c r="AF47" s="413" t="str">
        <f t="shared" si="34"/>
        <v xml:space="preserve"> </v>
      </c>
      <c r="AG47" s="413" t="str">
        <f t="shared" si="0"/>
        <v xml:space="preserve"> </v>
      </c>
      <c r="AH47" s="413" t="str">
        <f t="shared" si="1"/>
        <v xml:space="preserve"> </v>
      </c>
      <c r="AI47" s="413" t="str">
        <f t="shared" si="2"/>
        <v xml:space="preserve"> </v>
      </c>
      <c r="AJ47" s="413" t="str">
        <f t="shared" si="3"/>
        <v xml:space="preserve"> </v>
      </c>
      <c r="AK47" s="413" t="str">
        <f t="shared" si="4"/>
        <v xml:space="preserve"> </v>
      </c>
      <c r="AL47" s="413" t="str">
        <f t="shared" si="5"/>
        <v xml:space="preserve"> </v>
      </c>
      <c r="AM47" s="413" t="str">
        <f t="shared" si="6"/>
        <v xml:space="preserve"> </v>
      </c>
      <c r="AN47" s="413" t="str">
        <f t="shared" si="7"/>
        <v xml:space="preserve"> </v>
      </c>
      <c r="AO47" s="413" t="str">
        <f t="shared" si="8"/>
        <v xml:space="preserve"> </v>
      </c>
      <c r="AP47" s="413" t="str">
        <f t="shared" si="9"/>
        <v xml:space="preserve"> </v>
      </c>
      <c r="AQ47" s="413" t="str">
        <f t="shared" si="10"/>
        <v xml:space="preserve"> </v>
      </c>
      <c r="AU47" s="438">
        <f t="shared" si="35"/>
        <v>0</v>
      </c>
      <c r="AV47" s="438" t="str">
        <f t="shared" si="36"/>
        <v/>
      </c>
      <c r="AW47" s="438">
        <f t="shared" si="77"/>
        <v>0</v>
      </c>
      <c r="AX47" s="438" t="str">
        <f t="shared" si="36"/>
        <v/>
      </c>
      <c r="AY47" s="438">
        <f t="shared" si="67"/>
        <v>0</v>
      </c>
      <c r="AZ47" s="438" t="str">
        <f t="shared" si="36"/>
        <v/>
      </c>
      <c r="BA47" s="438">
        <f t="shared" si="68"/>
        <v>0</v>
      </c>
      <c r="BB47" s="438" t="str">
        <f t="shared" si="36"/>
        <v/>
      </c>
      <c r="BC47" s="438">
        <f t="shared" si="69"/>
        <v>0</v>
      </c>
      <c r="BD47" s="438" t="str">
        <f t="shared" si="36"/>
        <v/>
      </c>
      <c r="BE47" s="438">
        <f t="shared" si="70"/>
        <v>0</v>
      </c>
      <c r="BF47" s="438" t="str">
        <f t="shared" si="36"/>
        <v/>
      </c>
      <c r="BG47" s="438">
        <f t="shared" si="71"/>
        <v>0</v>
      </c>
      <c r="BH47" s="438" t="str">
        <f t="shared" si="36"/>
        <v/>
      </c>
      <c r="BI47" s="438">
        <f t="shared" si="72"/>
        <v>0</v>
      </c>
      <c r="BJ47" s="438" t="str">
        <f t="shared" si="36"/>
        <v/>
      </c>
      <c r="BK47" s="438">
        <f t="shared" si="73"/>
        <v>0</v>
      </c>
      <c r="BL47" s="438" t="str">
        <f t="shared" si="36"/>
        <v/>
      </c>
      <c r="BM47" s="438">
        <f t="shared" si="74"/>
        <v>0</v>
      </c>
      <c r="BN47" s="438" t="str">
        <f t="shared" si="37"/>
        <v/>
      </c>
      <c r="BO47" s="438">
        <f t="shared" si="75"/>
        <v>0</v>
      </c>
      <c r="BP47" s="438" t="str">
        <f t="shared" si="37"/>
        <v/>
      </c>
      <c r="BQ47" s="438">
        <f t="shared" si="76"/>
        <v>0</v>
      </c>
      <c r="BR47" s="438" t="str">
        <f t="shared" si="37"/>
        <v/>
      </c>
      <c r="BV47" s="439">
        <f t="shared" si="38"/>
        <v>8</v>
      </c>
      <c r="BW47" s="439">
        <f>IF(BV47=8,'JSM Jahresdauerlinie'!$E$26,E47)</f>
        <v>9.9999999999999995E-7</v>
      </c>
      <c r="BX47" s="439">
        <f t="shared" si="39"/>
        <v>8</v>
      </c>
      <c r="BY47" s="439">
        <f>IF(BX47=8,'JSM Jahresdauerlinie'!$E$26,G47)</f>
        <v>9.9999999999999995E-7</v>
      </c>
      <c r="BZ47" s="439">
        <f t="shared" si="40"/>
        <v>8</v>
      </c>
      <c r="CA47" s="439">
        <f>IF(BZ47=8,'JSM Jahresdauerlinie'!$E$26,I47)</f>
        <v>9.9999999999999995E-7</v>
      </c>
      <c r="CB47" s="439">
        <f t="shared" si="41"/>
        <v>8</v>
      </c>
      <c r="CC47" s="439">
        <f>IF(CB47=8,'JSM Jahresdauerlinie'!$E$26,K47)</f>
        <v>9.9999999999999995E-7</v>
      </c>
      <c r="CD47" s="439">
        <f t="shared" si="42"/>
        <v>8</v>
      </c>
      <c r="CE47" s="439">
        <f>IF(CD47=8,'JSM Jahresdauerlinie'!$E$26,M47)</f>
        <v>9.9999999999999995E-7</v>
      </c>
      <c r="CF47" s="439">
        <f t="shared" si="43"/>
        <v>8</v>
      </c>
      <c r="CG47" s="439">
        <f>IF(CF47=8,'JSM Jahresdauerlinie'!$E$26,O47)</f>
        <v>9.9999999999999995E-7</v>
      </c>
      <c r="CH47" s="439">
        <f t="shared" si="44"/>
        <v>8</v>
      </c>
      <c r="CI47" s="439">
        <f>IF(CH47=8,'JSM Jahresdauerlinie'!$E$26,Q47)</f>
        <v>9.9999999999999995E-7</v>
      </c>
      <c r="CJ47" s="439">
        <f t="shared" si="45"/>
        <v>8</v>
      </c>
      <c r="CK47" s="439">
        <f>IF(CJ47=8,'JSM Jahresdauerlinie'!$E$26,S47)</f>
        <v>9.9999999999999995E-7</v>
      </c>
      <c r="CL47" s="439">
        <f t="shared" si="46"/>
        <v>8</v>
      </c>
      <c r="CM47" s="439">
        <f>IF(CL47=8,'JSM Jahresdauerlinie'!$E$26,U47)</f>
        <v>9.9999999999999995E-7</v>
      </c>
      <c r="CN47" s="439">
        <f t="shared" si="47"/>
        <v>8</v>
      </c>
      <c r="CO47" s="439">
        <f>IF(CN47=8,'JSM Jahresdauerlinie'!$E$26,W47)</f>
        <v>9.9999999999999995E-7</v>
      </c>
      <c r="CP47" s="439">
        <f t="shared" si="48"/>
        <v>8</v>
      </c>
      <c r="CQ47" s="439">
        <f>IF(CP47=8,'JSM Jahresdauerlinie'!$E$26,Y47)</f>
        <v>9.9999999999999995E-7</v>
      </c>
      <c r="CR47" s="439">
        <f t="shared" si="49"/>
        <v>8</v>
      </c>
      <c r="CS47" s="439">
        <f>IF(CR47=8,'JSM Jahresdauerlinie'!$E$26,AA47)</f>
        <v>9.9999999999999995E-7</v>
      </c>
      <c r="CT47" s="440"/>
      <c r="CW47" s="435">
        <f>IF(D47=8,'JSM Jahresdauerlinie'!$E$26,IF(BW47=0," ",BW47))</f>
        <v>9.9999999999999995E-7</v>
      </c>
      <c r="CX47" s="435">
        <f>IF(F47=8,'JSM Jahresdauerlinie'!$E$26,IF(BY47=0," ",BY47))</f>
        <v>9.9999999999999995E-7</v>
      </c>
      <c r="CY47" s="435">
        <f>IF(H47=8,'JSM Jahresdauerlinie'!$E$26,IF(CA47=0," ",CA47))</f>
        <v>9.9999999999999995E-7</v>
      </c>
      <c r="CZ47" s="435">
        <f>IF(J47=8,'JSM Jahresdauerlinie'!$E$26,IF(CC47=0," ",CC47))</f>
        <v>9.9999999999999995E-7</v>
      </c>
      <c r="DA47" s="435">
        <f>IF(L47=8,'JSM Jahresdauerlinie'!$E$26,IF(CE47=0," ",CE47))</f>
        <v>9.9999999999999995E-7</v>
      </c>
      <c r="DB47" s="435">
        <f>IF(N47=8,'JSM Jahresdauerlinie'!$E$26,IF(CG47=0," ",CG47))</f>
        <v>9.9999999999999995E-7</v>
      </c>
      <c r="DC47" s="435">
        <f>IF(P47=8,'JSM Jahresdauerlinie'!$E$26,IF(CI47=0," ",CI47))</f>
        <v>9.9999999999999995E-7</v>
      </c>
      <c r="DD47" s="435">
        <f>IF(R47=8,'JSM Jahresdauerlinie'!$E$26,IF(CK47=0," ",CK47))</f>
        <v>9.9999999999999995E-7</v>
      </c>
      <c r="DE47" s="435">
        <f>IF(T47=8,'JSM Jahresdauerlinie'!$E$26,IF(CM47=0," ",CM47))</f>
        <v>9.9999999999999995E-7</v>
      </c>
      <c r="DF47" s="435">
        <f>IF(V47=8,'JSM Jahresdauerlinie'!$E$26,IF(CO47=0," ",CO47))</f>
        <v>9.9999999999999995E-7</v>
      </c>
      <c r="DG47" s="435">
        <f>IF(X47=8,'JSM Jahresdauerlinie'!$E$26,IF(CQ47=0," ",CQ47))</f>
        <v>9.9999999999999995E-7</v>
      </c>
      <c r="DH47" s="435">
        <f>IF(Z47=8,'JSM Jahresdauerlinie'!$E$26,IF(CS47=0," ",CS47))</f>
        <v>9.9999999999999995E-7</v>
      </c>
      <c r="DJ47" s="441">
        <f t="shared" si="50"/>
        <v>9.9999999999999995E-7</v>
      </c>
      <c r="DK47" s="441">
        <f t="shared" si="51"/>
        <v>9.9999999999999995E-7</v>
      </c>
      <c r="DL47" s="441">
        <f t="shared" si="52"/>
        <v>9.9999999999999995E-7</v>
      </c>
      <c r="DM47" s="441">
        <f t="shared" si="53"/>
        <v>9.9999999999999995E-7</v>
      </c>
      <c r="DN47" s="441">
        <f t="shared" si="54"/>
        <v>9.9999999999999995E-7</v>
      </c>
      <c r="DO47" s="441">
        <f t="shared" si="55"/>
        <v>9.9999999999999995E-7</v>
      </c>
      <c r="DP47" s="441">
        <f t="shared" si="56"/>
        <v>9.9999999999999995E-7</v>
      </c>
      <c r="DQ47" s="441">
        <f t="shared" si="57"/>
        <v>9.9999999999999995E-7</v>
      </c>
      <c r="DR47" s="441">
        <f t="shared" si="58"/>
        <v>9.9999999999999995E-7</v>
      </c>
      <c r="DS47" s="441">
        <f t="shared" si="59"/>
        <v>9.9999999999999995E-7</v>
      </c>
      <c r="DT47" s="441">
        <f t="shared" si="60"/>
        <v>9.9999999999999995E-7</v>
      </c>
      <c r="DU47" s="441">
        <f t="shared" si="23"/>
        <v>9.9999999999999995E-7</v>
      </c>
      <c r="DX47" s="435">
        <f t="shared" si="61"/>
        <v>8</v>
      </c>
      <c r="DY47" s="435">
        <f t="shared" si="24"/>
        <v>8</v>
      </c>
      <c r="DZ47" s="435">
        <f t="shared" si="25"/>
        <v>8</v>
      </c>
      <c r="EA47" s="435">
        <f t="shared" si="26"/>
        <v>8</v>
      </c>
      <c r="EB47" s="435">
        <f t="shared" si="27"/>
        <v>8</v>
      </c>
      <c r="EC47" s="435">
        <f t="shared" si="28"/>
        <v>8</v>
      </c>
      <c r="ED47" s="435">
        <f t="shared" si="62"/>
        <v>8</v>
      </c>
      <c r="EE47" s="435">
        <f t="shared" si="29"/>
        <v>8</v>
      </c>
      <c r="EF47" s="435">
        <f t="shared" si="30"/>
        <v>8</v>
      </c>
      <c r="EG47" s="435">
        <f t="shared" si="31"/>
        <v>8</v>
      </c>
      <c r="EH47" s="435">
        <f t="shared" si="32"/>
        <v>8</v>
      </c>
      <c r="EI47" s="435">
        <f t="shared" si="33"/>
        <v>8</v>
      </c>
      <c r="EK47" s="441" t="str">
        <f t="shared" si="63"/>
        <v xml:space="preserve"> </v>
      </c>
      <c r="EL47" s="441" t="str">
        <f t="shared" si="64"/>
        <v xml:space="preserve"> </v>
      </c>
      <c r="EM47" s="441" t="str">
        <f t="shared" si="63"/>
        <v xml:space="preserve"> </v>
      </c>
      <c r="EN47" s="441" t="str">
        <f t="shared" si="64"/>
        <v xml:space="preserve"> </v>
      </c>
      <c r="EO47" s="441" t="str">
        <f t="shared" si="63"/>
        <v xml:space="preserve"> </v>
      </c>
      <c r="EP47" s="441" t="str">
        <f t="shared" si="64"/>
        <v xml:space="preserve"> </v>
      </c>
      <c r="EQ47" s="441" t="str">
        <f t="shared" si="63"/>
        <v xml:space="preserve"> </v>
      </c>
      <c r="ER47" s="441" t="str">
        <f t="shared" si="64"/>
        <v xml:space="preserve"> </v>
      </c>
      <c r="ES47" s="441" t="str">
        <f t="shared" si="63"/>
        <v xml:space="preserve"> </v>
      </c>
      <c r="ET47" s="441" t="str">
        <f t="shared" si="64"/>
        <v xml:space="preserve"> </v>
      </c>
      <c r="EU47" s="441" t="str">
        <f t="shared" si="63"/>
        <v xml:space="preserve"> </v>
      </c>
      <c r="EV47" s="441" t="str">
        <f t="shared" si="64"/>
        <v xml:space="preserve"> </v>
      </c>
      <c r="EW47" s="441" t="str">
        <f t="shared" si="63"/>
        <v xml:space="preserve"> </v>
      </c>
      <c r="EX47" s="441" t="str">
        <f t="shared" si="64"/>
        <v xml:space="preserve"> </v>
      </c>
      <c r="EY47" s="441" t="str">
        <f t="shared" si="63"/>
        <v xml:space="preserve"> </v>
      </c>
      <c r="EZ47" s="441" t="str">
        <f t="shared" si="64"/>
        <v xml:space="preserve"> </v>
      </c>
      <c r="FA47" s="441" t="str">
        <f t="shared" si="63"/>
        <v xml:space="preserve"> </v>
      </c>
      <c r="FB47" s="441" t="str">
        <f t="shared" si="64"/>
        <v xml:space="preserve"> </v>
      </c>
      <c r="FC47" s="441" t="str">
        <f t="shared" si="65"/>
        <v xml:space="preserve"> </v>
      </c>
      <c r="FD47" s="441" t="str">
        <f t="shared" si="66"/>
        <v xml:space="preserve"> </v>
      </c>
      <c r="FE47" s="441" t="str">
        <f t="shared" si="65"/>
        <v xml:space="preserve"> </v>
      </c>
      <c r="FF47" s="441" t="str">
        <f t="shared" si="66"/>
        <v xml:space="preserve"> </v>
      </c>
      <c r="FG47" s="437" t="str">
        <f t="shared" si="65"/>
        <v xml:space="preserve"> </v>
      </c>
      <c r="FH47" s="441" t="str">
        <f t="shared" si="66"/>
        <v xml:space="preserve"> </v>
      </c>
    </row>
    <row r="48" spans="2:164" ht="14.25" x14ac:dyDescent="0.2">
      <c r="B48" s="210">
        <v>17</v>
      </c>
      <c r="D48" s="745"/>
      <c r="E48" s="740"/>
      <c r="F48" s="740"/>
      <c r="G48" s="740"/>
      <c r="H48" s="740"/>
      <c r="I48" s="740"/>
      <c r="J48" s="740"/>
      <c r="K48" s="740"/>
      <c r="L48" s="740"/>
      <c r="M48" s="740"/>
      <c r="N48" s="740"/>
      <c r="O48" s="740"/>
      <c r="P48" s="740"/>
      <c r="Q48" s="740"/>
      <c r="R48" s="740"/>
      <c r="S48" s="740"/>
      <c r="T48" s="740"/>
      <c r="U48" s="740"/>
      <c r="V48" s="740"/>
      <c r="W48" s="740"/>
      <c r="X48" s="741"/>
      <c r="Y48" s="740"/>
      <c r="Z48" s="740"/>
      <c r="AA48" s="740"/>
      <c r="AF48" s="413" t="str">
        <f t="shared" si="34"/>
        <v xml:space="preserve"> </v>
      </c>
      <c r="AG48" s="413" t="str">
        <f t="shared" ref="AG48:AG62" si="78">IF(G48=0," ",IF(G48&gt;0,G48," "))</f>
        <v xml:space="preserve"> </v>
      </c>
      <c r="AH48" s="413" t="str">
        <f t="shared" ref="AH48:AH62" si="79">IF(I48=0," ",IF(I48&gt;0,I48," "))</f>
        <v xml:space="preserve"> </v>
      </c>
      <c r="AI48" s="413" t="str">
        <f t="shared" ref="AI48:AI62" si="80">IF(K48=0," ",IF(K48&gt;0,K48," "))</f>
        <v xml:space="preserve"> </v>
      </c>
      <c r="AJ48" s="413" t="str">
        <f t="shared" ref="AJ48:AJ62" si="81">IF(M48=0," ",IF(M48&gt;0,M48," "))</f>
        <v xml:space="preserve"> </v>
      </c>
      <c r="AK48" s="413" t="str">
        <f t="shared" ref="AK48:AK62" si="82">IF(O48=0," ",IF(O48&gt;0,O48," "))</f>
        <v xml:space="preserve"> </v>
      </c>
      <c r="AL48" s="413" t="str">
        <f t="shared" ref="AL48:AL62" si="83">IF(Q48=0," ",IF(Q48&gt;0,Q48," "))</f>
        <v xml:space="preserve"> </v>
      </c>
      <c r="AM48" s="413" t="str">
        <f t="shared" ref="AM48:AM62" si="84">IF(S48=0," ",IF(S48&gt;0,S48," "))</f>
        <v xml:space="preserve"> </v>
      </c>
      <c r="AN48" s="413" t="str">
        <f t="shared" si="7"/>
        <v xml:space="preserve"> </v>
      </c>
      <c r="AO48" s="413" t="str">
        <f t="shared" si="8"/>
        <v xml:space="preserve"> </v>
      </c>
      <c r="AP48" s="413" t="str">
        <f t="shared" si="9"/>
        <v xml:space="preserve"> </v>
      </c>
      <c r="AQ48" s="413" t="str">
        <f t="shared" si="10"/>
        <v xml:space="preserve"> </v>
      </c>
      <c r="AU48" s="438">
        <f t="shared" si="35"/>
        <v>0</v>
      </c>
      <c r="AV48" s="438" t="str">
        <f t="shared" si="36"/>
        <v/>
      </c>
      <c r="AW48" s="438">
        <f t="shared" si="77"/>
        <v>0</v>
      </c>
      <c r="AX48" s="438" t="str">
        <f t="shared" si="36"/>
        <v/>
      </c>
      <c r="AY48" s="438">
        <f t="shared" si="67"/>
        <v>0</v>
      </c>
      <c r="AZ48" s="438" t="str">
        <f t="shared" si="36"/>
        <v/>
      </c>
      <c r="BA48" s="438">
        <f t="shared" si="68"/>
        <v>0</v>
      </c>
      <c r="BB48" s="438" t="str">
        <f t="shared" si="36"/>
        <v/>
      </c>
      <c r="BC48" s="438">
        <f t="shared" si="69"/>
        <v>0</v>
      </c>
      <c r="BD48" s="438" t="str">
        <f t="shared" si="36"/>
        <v/>
      </c>
      <c r="BE48" s="438">
        <f t="shared" si="70"/>
        <v>0</v>
      </c>
      <c r="BF48" s="438" t="str">
        <f t="shared" si="36"/>
        <v/>
      </c>
      <c r="BG48" s="438">
        <f t="shared" si="71"/>
        <v>0</v>
      </c>
      <c r="BH48" s="438" t="str">
        <f t="shared" si="36"/>
        <v/>
      </c>
      <c r="BI48" s="438">
        <f t="shared" si="72"/>
        <v>0</v>
      </c>
      <c r="BJ48" s="438" t="str">
        <f t="shared" si="36"/>
        <v/>
      </c>
      <c r="BK48" s="438">
        <f t="shared" si="73"/>
        <v>0</v>
      </c>
      <c r="BL48" s="438" t="str">
        <f t="shared" ref="BL48:BR62" si="85">IF(BK48=8,"",IF(U48="","",U48))</f>
        <v/>
      </c>
      <c r="BM48" s="438">
        <f t="shared" si="74"/>
        <v>0</v>
      </c>
      <c r="BN48" s="438" t="str">
        <f t="shared" si="85"/>
        <v/>
      </c>
      <c r="BO48" s="438">
        <f t="shared" si="75"/>
        <v>0</v>
      </c>
      <c r="BP48" s="438" t="str">
        <f t="shared" si="85"/>
        <v/>
      </c>
      <c r="BQ48" s="438">
        <f t="shared" si="76"/>
        <v>0</v>
      </c>
      <c r="BR48" s="438" t="str">
        <f t="shared" si="85"/>
        <v/>
      </c>
      <c r="BV48" s="439">
        <f t="shared" si="38"/>
        <v>8</v>
      </c>
      <c r="BW48" s="439">
        <f>IF(BV48=8,'JSM Jahresdauerlinie'!$E$26,E48)</f>
        <v>9.9999999999999995E-7</v>
      </c>
      <c r="BX48" s="439">
        <f t="shared" si="39"/>
        <v>8</v>
      </c>
      <c r="BY48" s="439">
        <f>IF(BX48=8,'JSM Jahresdauerlinie'!$E$26,G48)</f>
        <v>9.9999999999999995E-7</v>
      </c>
      <c r="BZ48" s="439">
        <f t="shared" si="40"/>
        <v>8</v>
      </c>
      <c r="CA48" s="439">
        <f>IF(BZ48=8,'JSM Jahresdauerlinie'!$E$26,I48)</f>
        <v>9.9999999999999995E-7</v>
      </c>
      <c r="CB48" s="439">
        <f t="shared" si="41"/>
        <v>8</v>
      </c>
      <c r="CC48" s="439">
        <f>IF(CB48=8,'JSM Jahresdauerlinie'!$E$26,K48)</f>
        <v>9.9999999999999995E-7</v>
      </c>
      <c r="CD48" s="439">
        <f t="shared" si="42"/>
        <v>8</v>
      </c>
      <c r="CE48" s="439">
        <f>IF(CD48=8,'JSM Jahresdauerlinie'!$E$26,M48)</f>
        <v>9.9999999999999995E-7</v>
      </c>
      <c r="CF48" s="439">
        <f t="shared" si="43"/>
        <v>8</v>
      </c>
      <c r="CG48" s="439">
        <f>IF(CF48=8,'JSM Jahresdauerlinie'!$E$26,O48)</f>
        <v>9.9999999999999995E-7</v>
      </c>
      <c r="CH48" s="439">
        <f t="shared" si="44"/>
        <v>8</v>
      </c>
      <c r="CI48" s="439">
        <f>IF(CH48=8,'JSM Jahresdauerlinie'!$E$26,Q48)</f>
        <v>9.9999999999999995E-7</v>
      </c>
      <c r="CJ48" s="439">
        <f t="shared" si="45"/>
        <v>8</v>
      </c>
      <c r="CK48" s="439">
        <f>IF(CJ48=8,'JSM Jahresdauerlinie'!$E$26,S48)</f>
        <v>9.9999999999999995E-7</v>
      </c>
      <c r="CL48" s="439">
        <f t="shared" si="46"/>
        <v>8</v>
      </c>
      <c r="CM48" s="439">
        <f>IF(CL48=8,'JSM Jahresdauerlinie'!$E$26,U48)</f>
        <v>9.9999999999999995E-7</v>
      </c>
      <c r="CN48" s="439">
        <f t="shared" si="47"/>
        <v>8</v>
      </c>
      <c r="CO48" s="439">
        <f>IF(CN48=8,'JSM Jahresdauerlinie'!$E$26,W48)</f>
        <v>9.9999999999999995E-7</v>
      </c>
      <c r="CP48" s="439">
        <f t="shared" si="48"/>
        <v>8</v>
      </c>
      <c r="CQ48" s="439">
        <f>IF(CP48=8,'JSM Jahresdauerlinie'!$E$26,Y48)</f>
        <v>9.9999999999999995E-7</v>
      </c>
      <c r="CR48" s="439">
        <f t="shared" si="49"/>
        <v>8</v>
      </c>
      <c r="CS48" s="439">
        <f>IF(CR48=8,'JSM Jahresdauerlinie'!$E$26,AA48)</f>
        <v>9.9999999999999995E-7</v>
      </c>
      <c r="CT48" s="440"/>
      <c r="CW48" s="435">
        <f>IF(D48=8,'JSM Jahresdauerlinie'!$E$26,IF(BW48=0," ",BW48))</f>
        <v>9.9999999999999995E-7</v>
      </c>
      <c r="CX48" s="435">
        <f>IF(F48=8,'JSM Jahresdauerlinie'!$E$26,IF(BY48=0," ",BY48))</f>
        <v>9.9999999999999995E-7</v>
      </c>
      <c r="CY48" s="435">
        <f>IF(H48=8,'JSM Jahresdauerlinie'!$E$26,IF(CA48=0," ",CA48))</f>
        <v>9.9999999999999995E-7</v>
      </c>
      <c r="CZ48" s="435">
        <f>IF(J48=8,'JSM Jahresdauerlinie'!$E$26,IF(CC48=0," ",CC48))</f>
        <v>9.9999999999999995E-7</v>
      </c>
      <c r="DA48" s="435">
        <f>IF(L48=8,'JSM Jahresdauerlinie'!$E$26,IF(CE48=0," ",CE48))</f>
        <v>9.9999999999999995E-7</v>
      </c>
      <c r="DB48" s="435">
        <f>IF(N48=8,'JSM Jahresdauerlinie'!$E$26,IF(CG48=0," ",CG48))</f>
        <v>9.9999999999999995E-7</v>
      </c>
      <c r="DC48" s="435">
        <f>IF(P48=8,'JSM Jahresdauerlinie'!$E$26,IF(CI48=0," ",CI48))</f>
        <v>9.9999999999999995E-7</v>
      </c>
      <c r="DD48" s="435">
        <f>IF(R48=8,'JSM Jahresdauerlinie'!$E$26,IF(CK48=0," ",CK48))</f>
        <v>9.9999999999999995E-7</v>
      </c>
      <c r="DE48" s="435">
        <f>IF(T48=8,'JSM Jahresdauerlinie'!$E$26,IF(CM48=0," ",CM48))</f>
        <v>9.9999999999999995E-7</v>
      </c>
      <c r="DF48" s="435">
        <f>IF(V48=8,'JSM Jahresdauerlinie'!$E$26,IF(CO48=0," ",CO48))</f>
        <v>9.9999999999999995E-7</v>
      </c>
      <c r="DG48" s="435">
        <f>IF(X48=8,'JSM Jahresdauerlinie'!$E$26,IF(CQ48=0," ",CQ48))</f>
        <v>9.9999999999999995E-7</v>
      </c>
      <c r="DH48" s="435">
        <f>IF(Z48=8,'JSM Jahresdauerlinie'!$E$26,IF(CS48=0," ",CS48))</f>
        <v>9.9999999999999995E-7</v>
      </c>
      <c r="DJ48" s="441">
        <f t="shared" si="50"/>
        <v>9.9999999999999995E-7</v>
      </c>
      <c r="DK48" s="441">
        <f t="shared" ref="DK48:DK59" si="86">IF(CX48=" ",$CU$92+0.01,CX48)</f>
        <v>9.9999999999999995E-7</v>
      </c>
      <c r="DL48" s="441">
        <f t="shared" ref="DL48:DL62" si="87">IF(CY48=" ",$CU$92+0.01,CY48)</f>
        <v>9.9999999999999995E-7</v>
      </c>
      <c r="DM48" s="441">
        <f t="shared" ref="DM48:DM61" si="88">IF(CZ48=" ",$CU$92+0.01,CZ48)</f>
        <v>9.9999999999999995E-7</v>
      </c>
      <c r="DN48" s="441">
        <f t="shared" ref="DN48:DN62" si="89">IF(DA48=" ",$CU$92+0.01,DA48)</f>
        <v>9.9999999999999995E-7</v>
      </c>
      <c r="DO48" s="441">
        <f t="shared" ref="DO48:DO61" si="90">IF(DB48=" ",$CU$92+0.01,DB48)</f>
        <v>9.9999999999999995E-7</v>
      </c>
      <c r="DP48" s="441">
        <f t="shared" ref="DP48:DP62" si="91">IF(DC48=" ",$CU$92+0.01,DC48)</f>
        <v>9.9999999999999995E-7</v>
      </c>
      <c r="DQ48" s="441">
        <f t="shared" ref="DQ48:DQ62" si="92">IF(DD48=" ",$CU$92+0.01,DD48)</f>
        <v>9.9999999999999995E-7</v>
      </c>
      <c r="DR48" s="441">
        <f t="shared" ref="DR48:DR61" si="93">IF(DE48=" ",$CU$92+0.01,DE48)</f>
        <v>9.9999999999999995E-7</v>
      </c>
      <c r="DS48" s="441">
        <f t="shared" ref="DS48:DS62" si="94">IF(DF48=" ",$CU$92+0.01,DF48)</f>
        <v>9.9999999999999995E-7</v>
      </c>
      <c r="DT48" s="441">
        <f t="shared" ref="DT48:DT61" si="95">IF(DG48=" ",$CU$92+0.01,DG48)</f>
        <v>9.9999999999999995E-7</v>
      </c>
      <c r="DU48" s="441">
        <f t="shared" ref="DU48:DU62" si="96">IF(DH48=" ",$CU$92+0.01,DH48)</f>
        <v>9.9999999999999995E-7</v>
      </c>
      <c r="DX48" s="435">
        <f t="shared" si="61"/>
        <v>8</v>
      </c>
      <c r="DY48" s="435">
        <f t="shared" si="24"/>
        <v>8</v>
      </c>
      <c r="DZ48" s="435">
        <f t="shared" si="25"/>
        <v>8</v>
      </c>
      <c r="EA48" s="435">
        <f t="shared" si="26"/>
        <v>8</v>
      </c>
      <c r="EB48" s="435">
        <f t="shared" si="27"/>
        <v>8</v>
      </c>
      <c r="EC48" s="435">
        <f t="shared" si="28"/>
        <v>8</v>
      </c>
      <c r="ED48" s="435">
        <f t="shared" si="62"/>
        <v>8</v>
      </c>
      <c r="EE48" s="435">
        <f t="shared" si="29"/>
        <v>8</v>
      </c>
      <c r="EF48" s="435">
        <f t="shared" si="30"/>
        <v>8</v>
      </c>
      <c r="EG48" s="435">
        <f t="shared" si="31"/>
        <v>8</v>
      </c>
      <c r="EH48" s="435">
        <f t="shared" si="32"/>
        <v>8</v>
      </c>
      <c r="EI48" s="435">
        <f t="shared" si="33"/>
        <v>8</v>
      </c>
      <c r="EK48" s="441" t="str">
        <f t="shared" si="63"/>
        <v xml:space="preserve"> </v>
      </c>
      <c r="EL48" s="441" t="str">
        <f t="shared" si="64"/>
        <v xml:space="preserve"> </v>
      </c>
      <c r="EM48" s="441" t="str">
        <f t="shared" si="63"/>
        <v xml:space="preserve"> </v>
      </c>
      <c r="EN48" s="441" t="str">
        <f t="shared" si="64"/>
        <v xml:space="preserve"> </v>
      </c>
      <c r="EO48" s="441" t="str">
        <f t="shared" si="63"/>
        <v xml:space="preserve"> </v>
      </c>
      <c r="EP48" s="441" t="str">
        <f t="shared" si="64"/>
        <v xml:space="preserve"> </v>
      </c>
      <c r="EQ48" s="441" t="str">
        <f t="shared" si="63"/>
        <v xml:space="preserve"> </v>
      </c>
      <c r="ER48" s="441" t="str">
        <f t="shared" si="64"/>
        <v xml:space="preserve"> </v>
      </c>
      <c r="ES48" s="441" t="str">
        <f t="shared" si="63"/>
        <v xml:space="preserve"> </v>
      </c>
      <c r="ET48" s="441" t="str">
        <f t="shared" si="64"/>
        <v xml:space="preserve"> </v>
      </c>
      <c r="EU48" s="441" t="str">
        <f t="shared" si="63"/>
        <v xml:space="preserve"> </v>
      </c>
      <c r="EV48" s="441" t="str">
        <f t="shared" si="64"/>
        <v xml:space="preserve"> </v>
      </c>
      <c r="EW48" s="441" t="str">
        <f t="shared" si="63"/>
        <v xml:space="preserve"> </v>
      </c>
      <c r="EX48" s="441" t="str">
        <f t="shared" si="64"/>
        <v xml:space="preserve"> </v>
      </c>
      <c r="EY48" s="441" t="str">
        <f t="shared" si="63"/>
        <v xml:space="preserve"> </v>
      </c>
      <c r="EZ48" s="441" t="str">
        <f t="shared" si="64"/>
        <v xml:space="preserve"> </v>
      </c>
      <c r="FA48" s="441" t="str">
        <f t="shared" ref="FA48:FG62" si="97">IF(T48=0," ",T48)</f>
        <v xml:space="preserve"> </v>
      </c>
      <c r="FB48" s="441" t="str">
        <f t="shared" ref="FB48:FH62" si="98">IF(U48=0," ",IF(FA48=" "," ",IF(T48&lt;=2,U48," ")))</f>
        <v xml:space="preserve"> </v>
      </c>
      <c r="FC48" s="441" t="str">
        <f t="shared" si="97"/>
        <v xml:space="preserve"> </v>
      </c>
      <c r="FD48" s="441" t="str">
        <f t="shared" si="98"/>
        <v xml:space="preserve"> </v>
      </c>
      <c r="FE48" s="441" t="str">
        <f t="shared" si="97"/>
        <v xml:space="preserve"> </v>
      </c>
      <c r="FF48" s="441" t="str">
        <f t="shared" si="98"/>
        <v xml:space="preserve"> </v>
      </c>
      <c r="FG48" s="437" t="str">
        <f t="shared" si="97"/>
        <v xml:space="preserve"> </v>
      </c>
      <c r="FH48" s="441" t="str">
        <f t="shared" si="98"/>
        <v xml:space="preserve"> </v>
      </c>
    </row>
    <row r="49" spans="1:164" ht="14.25" x14ac:dyDescent="0.2">
      <c r="B49" s="210">
        <v>18</v>
      </c>
      <c r="D49" s="740"/>
      <c r="E49" s="740"/>
      <c r="F49" s="740"/>
      <c r="G49" s="740"/>
      <c r="H49" s="740"/>
      <c r="I49" s="740"/>
      <c r="J49" s="740"/>
      <c r="K49" s="740"/>
      <c r="L49" s="740"/>
      <c r="M49" s="740"/>
      <c r="N49" s="740"/>
      <c r="O49" s="740"/>
      <c r="P49" s="740"/>
      <c r="Q49" s="740"/>
      <c r="R49" s="740"/>
      <c r="S49" s="740"/>
      <c r="T49" s="740"/>
      <c r="U49" s="740"/>
      <c r="V49" s="740"/>
      <c r="W49" s="740"/>
      <c r="X49" s="741"/>
      <c r="Y49" s="740"/>
      <c r="Z49" s="740"/>
      <c r="AA49" s="740"/>
      <c r="AF49" s="413" t="str">
        <f t="shared" si="34"/>
        <v xml:space="preserve"> </v>
      </c>
      <c r="AG49" s="413" t="str">
        <f t="shared" si="78"/>
        <v xml:space="preserve"> </v>
      </c>
      <c r="AH49" s="413" t="str">
        <f t="shared" si="79"/>
        <v xml:space="preserve"> </v>
      </c>
      <c r="AI49" s="413" t="str">
        <f t="shared" si="80"/>
        <v xml:space="preserve"> </v>
      </c>
      <c r="AJ49" s="413" t="str">
        <f t="shared" si="81"/>
        <v xml:space="preserve"> </v>
      </c>
      <c r="AK49" s="413" t="str">
        <f t="shared" si="82"/>
        <v xml:space="preserve"> </v>
      </c>
      <c r="AL49" s="413" t="str">
        <f t="shared" si="83"/>
        <v xml:space="preserve"> </v>
      </c>
      <c r="AM49" s="413" t="str">
        <f t="shared" si="84"/>
        <v xml:space="preserve"> </v>
      </c>
      <c r="AN49" s="413" t="str">
        <f t="shared" si="7"/>
        <v xml:space="preserve"> </v>
      </c>
      <c r="AO49" s="413" t="str">
        <f t="shared" si="8"/>
        <v xml:space="preserve"> </v>
      </c>
      <c r="AP49" s="413" t="str">
        <f t="shared" si="9"/>
        <v xml:space="preserve"> </v>
      </c>
      <c r="AQ49" s="413" t="str">
        <f t="shared" si="10"/>
        <v xml:space="preserve"> </v>
      </c>
      <c r="AU49" s="438">
        <f t="shared" si="35"/>
        <v>0</v>
      </c>
      <c r="AV49" s="438" t="str">
        <f t="shared" si="36"/>
        <v/>
      </c>
      <c r="AW49" s="438">
        <f t="shared" si="77"/>
        <v>0</v>
      </c>
      <c r="AX49" s="438" t="str">
        <f t="shared" si="36"/>
        <v/>
      </c>
      <c r="AY49" s="438">
        <f t="shared" si="67"/>
        <v>0</v>
      </c>
      <c r="AZ49" s="438" t="str">
        <f t="shared" si="36"/>
        <v/>
      </c>
      <c r="BA49" s="438">
        <f t="shared" si="68"/>
        <v>0</v>
      </c>
      <c r="BB49" s="438" t="str">
        <f t="shared" si="36"/>
        <v/>
      </c>
      <c r="BC49" s="438">
        <f t="shared" si="69"/>
        <v>0</v>
      </c>
      <c r="BD49" s="438" t="str">
        <f t="shared" si="36"/>
        <v/>
      </c>
      <c r="BE49" s="438">
        <f t="shared" si="70"/>
        <v>0</v>
      </c>
      <c r="BF49" s="438" t="str">
        <f t="shared" si="36"/>
        <v/>
      </c>
      <c r="BG49" s="438">
        <f t="shared" si="71"/>
        <v>0</v>
      </c>
      <c r="BH49" s="438" t="str">
        <f t="shared" si="36"/>
        <v/>
      </c>
      <c r="BI49" s="438">
        <f t="shared" si="72"/>
        <v>0</v>
      </c>
      <c r="BJ49" s="438" t="str">
        <f t="shared" si="36"/>
        <v/>
      </c>
      <c r="BK49" s="438">
        <f t="shared" si="73"/>
        <v>0</v>
      </c>
      <c r="BL49" s="438" t="str">
        <f t="shared" si="85"/>
        <v/>
      </c>
      <c r="BM49" s="438">
        <f t="shared" si="74"/>
        <v>0</v>
      </c>
      <c r="BN49" s="438" t="str">
        <f t="shared" si="85"/>
        <v/>
      </c>
      <c r="BO49" s="438">
        <f t="shared" si="75"/>
        <v>0</v>
      </c>
      <c r="BP49" s="438" t="str">
        <f t="shared" si="85"/>
        <v/>
      </c>
      <c r="BQ49" s="438">
        <f t="shared" si="76"/>
        <v>0</v>
      </c>
      <c r="BR49" s="438" t="str">
        <f t="shared" si="85"/>
        <v/>
      </c>
      <c r="BV49" s="439">
        <f t="shared" si="38"/>
        <v>8</v>
      </c>
      <c r="BW49" s="439">
        <f>IF(BV49=8,'JSM Jahresdauerlinie'!$E$26,E49)</f>
        <v>9.9999999999999995E-7</v>
      </c>
      <c r="BX49" s="439">
        <f t="shared" si="39"/>
        <v>8</v>
      </c>
      <c r="BY49" s="439">
        <f>IF(BX49=8,'JSM Jahresdauerlinie'!$E$26,G49)</f>
        <v>9.9999999999999995E-7</v>
      </c>
      <c r="BZ49" s="439">
        <f t="shared" si="40"/>
        <v>8</v>
      </c>
      <c r="CA49" s="439">
        <f>IF(BZ49=8,'JSM Jahresdauerlinie'!$E$26,I49)</f>
        <v>9.9999999999999995E-7</v>
      </c>
      <c r="CB49" s="439">
        <f t="shared" si="41"/>
        <v>8</v>
      </c>
      <c r="CC49" s="439">
        <f>IF(CB49=8,'JSM Jahresdauerlinie'!$E$26,K49)</f>
        <v>9.9999999999999995E-7</v>
      </c>
      <c r="CD49" s="439">
        <f t="shared" si="42"/>
        <v>8</v>
      </c>
      <c r="CE49" s="439">
        <f>IF(CD49=8,'JSM Jahresdauerlinie'!$E$26,M49)</f>
        <v>9.9999999999999995E-7</v>
      </c>
      <c r="CF49" s="439">
        <f t="shared" si="43"/>
        <v>8</v>
      </c>
      <c r="CG49" s="439">
        <f>IF(CF49=8,'JSM Jahresdauerlinie'!$E$26,O49)</f>
        <v>9.9999999999999995E-7</v>
      </c>
      <c r="CH49" s="439">
        <f t="shared" si="44"/>
        <v>8</v>
      </c>
      <c r="CI49" s="439">
        <f>IF(CH49=8,'JSM Jahresdauerlinie'!$E$26,Q49)</f>
        <v>9.9999999999999995E-7</v>
      </c>
      <c r="CJ49" s="439">
        <f t="shared" si="45"/>
        <v>8</v>
      </c>
      <c r="CK49" s="439">
        <f>IF(CJ49=8,'JSM Jahresdauerlinie'!$E$26,S49)</f>
        <v>9.9999999999999995E-7</v>
      </c>
      <c r="CL49" s="439">
        <f t="shared" si="46"/>
        <v>8</v>
      </c>
      <c r="CM49" s="439">
        <f>IF(CL49=8,'JSM Jahresdauerlinie'!$E$26,U49)</f>
        <v>9.9999999999999995E-7</v>
      </c>
      <c r="CN49" s="439">
        <f t="shared" si="47"/>
        <v>8</v>
      </c>
      <c r="CO49" s="439">
        <f>IF(CN49=8,'JSM Jahresdauerlinie'!$E$26,W49)</f>
        <v>9.9999999999999995E-7</v>
      </c>
      <c r="CP49" s="439">
        <f t="shared" si="48"/>
        <v>8</v>
      </c>
      <c r="CQ49" s="439">
        <f>IF(CP49=8,'JSM Jahresdauerlinie'!$E$26,Y49)</f>
        <v>9.9999999999999995E-7</v>
      </c>
      <c r="CR49" s="439">
        <f t="shared" si="49"/>
        <v>8</v>
      </c>
      <c r="CS49" s="439">
        <f>IF(CR49=8,'JSM Jahresdauerlinie'!$E$26,AA49)</f>
        <v>9.9999999999999995E-7</v>
      </c>
      <c r="CT49" s="440"/>
      <c r="CW49" s="435">
        <f>IF(D49=8,'JSM Jahresdauerlinie'!$E$26,IF(BW49=0," ",BW49))</f>
        <v>9.9999999999999995E-7</v>
      </c>
      <c r="CX49" s="435">
        <f>IF(F49=8,'JSM Jahresdauerlinie'!$E$26,IF(BY49=0," ",BY49))</f>
        <v>9.9999999999999995E-7</v>
      </c>
      <c r="CY49" s="435">
        <f>IF(H49=8,'JSM Jahresdauerlinie'!$E$26,IF(CA49=0," ",CA49))</f>
        <v>9.9999999999999995E-7</v>
      </c>
      <c r="CZ49" s="435">
        <f>IF(J49=8,'JSM Jahresdauerlinie'!$E$26,IF(CC49=0," ",CC49))</f>
        <v>9.9999999999999995E-7</v>
      </c>
      <c r="DA49" s="435">
        <f>IF(L49=8,'JSM Jahresdauerlinie'!$E$26,IF(CE49=0," ",CE49))</f>
        <v>9.9999999999999995E-7</v>
      </c>
      <c r="DB49" s="435">
        <f>IF(N49=8,'JSM Jahresdauerlinie'!$E$26,IF(CG49=0," ",CG49))</f>
        <v>9.9999999999999995E-7</v>
      </c>
      <c r="DC49" s="435">
        <f>IF(P49=8,'JSM Jahresdauerlinie'!$E$26,IF(CI49=0," ",CI49))</f>
        <v>9.9999999999999995E-7</v>
      </c>
      <c r="DD49" s="435">
        <f>IF(R49=8,'JSM Jahresdauerlinie'!$E$26,IF(CK49=0," ",CK49))</f>
        <v>9.9999999999999995E-7</v>
      </c>
      <c r="DE49" s="435">
        <f>IF(T49=8,'JSM Jahresdauerlinie'!$E$26,IF(CM49=0," ",CM49))</f>
        <v>9.9999999999999995E-7</v>
      </c>
      <c r="DF49" s="435">
        <f>IF(V49=8,'JSM Jahresdauerlinie'!$E$26,IF(CO49=0," ",CO49))</f>
        <v>9.9999999999999995E-7</v>
      </c>
      <c r="DG49" s="435">
        <f>IF(X49=8,'JSM Jahresdauerlinie'!$E$26,IF(CQ49=0," ",CQ49))</f>
        <v>9.9999999999999995E-7</v>
      </c>
      <c r="DH49" s="435">
        <f>IF(Z49=8,'JSM Jahresdauerlinie'!$E$26,IF(CS49=0," ",CS49))</f>
        <v>9.9999999999999995E-7</v>
      </c>
      <c r="DJ49" s="441">
        <f t="shared" si="50"/>
        <v>9.9999999999999995E-7</v>
      </c>
      <c r="DK49" s="441">
        <f t="shared" si="86"/>
        <v>9.9999999999999995E-7</v>
      </c>
      <c r="DL49" s="441">
        <f t="shared" si="87"/>
        <v>9.9999999999999995E-7</v>
      </c>
      <c r="DM49" s="441">
        <f t="shared" si="88"/>
        <v>9.9999999999999995E-7</v>
      </c>
      <c r="DN49" s="441">
        <f t="shared" si="89"/>
        <v>9.9999999999999995E-7</v>
      </c>
      <c r="DO49" s="441">
        <f t="shared" si="90"/>
        <v>9.9999999999999995E-7</v>
      </c>
      <c r="DP49" s="441">
        <f t="shared" si="91"/>
        <v>9.9999999999999995E-7</v>
      </c>
      <c r="DQ49" s="441">
        <f t="shared" si="92"/>
        <v>9.9999999999999995E-7</v>
      </c>
      <c r="DR49" s="441">
        <f t="shared" si="93"/>
        <v>9.9999999999999995E-7</v>
      </c>
      <c r="DS49" s="441">
        <f t="shared" si="94"/>
        <v>9.9999999999999995E-7</v>
      </c>
      <c r="DT49" s="441">
        <f t="shared" si="95"/>
        <v>9.9999999999999995E-7</v>
      </c>
      <c r="DU49" s="441">
        <f t="shared" si="96"/>
        <v>9.9999999999999995E-7</v>
      </c>
      <c r="DX49" s="435">
        <f t="shared" si="61"/>
        <v>8</v>
      </c>
      <c r="DY49" s="435">
        <f t="shared" si="24"/>
        <v>8</v>
      </c>
      <c r="DZ49" s="435">
        <f t="shared" si="25"/>
        <v>8</v>
      </c>
      <c r="EA49" s="435">
        <f t="shared" si="26"/>
        <v>8</v>
      </c>
      <c r="EB49" s="435">
        <f t="shared" si="27"/>
        <v>8</v>
      </c>
      <c r="EC49" s="435">
        <f t="shared" si="28"/>
        <v>8</v>
      </c>
      <c r="ED49" s="435">
        <f t="shared" si="62"/>
        <v>8</v>
      </c>
      <c r="EE49" s="435">
        <f t="shared" si="29"/>
        <v>8</v>
      </c>
      <c r="EF49" s="435">
        <f t="shared" si="30"/>
        <v>8</v>
      </c>
      <c r="EG49" s="435">
        <f t="shared" si="31"/>
        <v>8</v>
      </c>
      <c r="EH49" s="435">
        <f t="shared" si="32"/>
        <v>8</v>
      </c>
      <c r="EI49" s="435">
        <f t="shared" si="33"/>
        <v>8</v>
      </c>
      <c r="EK49" s="441" t="str">
        <f t="shared" si="63"/>
        <v xml:space="preserve"> </v>
      </c>
      <c r="EL49" s="441" t="str">
        <f t="shared" si="64"/>
        <v xml:space="preserve"> </v>
      </c>
      <c r="EM49" s="441" t="str">
        <f t="shared" si="63"/>
        <v xml:space="preserve"> </v>
      </c>
      <c r="EN49" s="441" t="str">
        <f t="shared" si="64"/>
        <v xml:space="preserve"> </v>
      </c>
      <c r="EO49" s="441" t="str">
        <f t="shared" si="63"/>
        <v xml:space="preserve"> </v>
      </c>
      <c r="EP49" s="441" t="str">
        <f t="shared" si="64"/>
        <v xml:space="preserve"> </v>
      </c>
      <c r="EQ49" s="441" t="str">
        <f t="shared" si="63"/>
        <v xml:space="preserve"> </v>
      </c>
      <c r="ER49" s="441" t="str">
        <f t="shared" si="64"/>
        <v xml:space="preserve"> </v>
      </c>
      <c r="ES49" s="441" t="str">
        <f t="shared" si="63"/>
        <v xml:space="preserve"> </v>
      </c>
      <c r="ET49" s="441" t="str">
        <f t="shared" si="64"/>
        <v xml:space="preserve"> </v>
      </c>
      <c r="EU49" s="441" t="str">
        <f t="shared" si="63"/>
        <v xml:space="preserve"> </v>
      </c>
      <c r="EV49" s="441" t="str">
        <f t="shared" si="64"/>
        <v xml:space="preserve"> </v>
      </c>
      <c r="EW49" s="441" t="str">
        <f t="shared" si="63"/>
        <v xml:space="preserve"> </v>
      </c>
      <c r="EX49" s="441" t="str">
        <f t="shared" si="64"/>
        <v xml:space="preserve"> </v>
      </c>
      <c r="EY49" s="441" t="str">
        <f t="shared" si="63"/>
        <v xml:space="preserve"> </v>
      </c>
      <c r="EZ49" s="441" t="str">
        <f t="shared" si="64"/>
        <v xml:space="preserve"> </v>
      </c>
      <c r="FA49" s="441" t="str">
        <f t="shared" si="97"/>
        <v xml:space="preserve"> </v>
      </c>
      <c r="FB49" s="441" t="str">
        <f t="shared" si="98"/>
        <v xml:space="preserve"> </v>
      </c>
      <c r="FC49" s="441" t="str">
        <f t="shared" si="97"/>
        <v xml:space="preserve"> </v>
      </c>
      <c r="FD49" s="441" t="str">
        <f t="shared" si="98"/>
        <v xml:space="preserve"> </v>
      </c>
      <c r="FE49" s="441" t="str">
        <f t="shared" si="97"/>
        <v xml:space="preserve"> </v>
      </c>
      <c r="FF49" s="441" t="str">
        <f t="shared" si="98"/>
        <v xml:space="preserve"> </v>
      </c>
      <c r="FG49" s="437" t="str">
        <f t="shared" si="97"/>
        <v xml:space="preserve"> </v>
      </c>
      <c r="FH49" s="441" t="str">
        <f t="shared" si="98"/>
        <v xml:space="preserve"> </v>
      </c>
    </row>
    <row r="50" spans="1:164" ht="14.25" x14ac:dyDescent="0.2">
      <c r="B50" s="210">
        <v>19</v>
      </c>
      <c r="D50" s="740"/>
      <c r="E50" s="740"/>
      <c r="F50" s="745"/>
      <c r="G50" s="740"/>
      <c r="H50" s="740"/>
      <c r="I50" s="740"/>
      <c r="J50" s="740"/>
      <c r="K50" s="740"/>
      <c r="L50" s="745"/>
      <c r="M50" s="740"/>
      <c r="N50" s="740"/>
      <c r="O50" s="740"/>
      <c r="P50" s="740"/>
      <c r="Q50" s="740"/>
      <c r="R50" s="740"/>
      <c r="S50" s="740"/>
      <c r="T50" s="740"/>
      <c r="U50" s="740"/>
      <c r="V50" s="740"/>
      <c r="W50" s="740"/>
      <c r="X50" s="741"/>
      <c r="Y50" s="740"/>
      <c r="Z50" s="745"/>
      <c r="AA50" s="740"/>
      <c r="AF50" s="413" t="str">
        <f t="shared" si="34"/>
        <v xml:space="preserve"> </v>
      </c>
      <c r="AG50" s="413" t="str">
        <f t="shared" si="78"/>
        <v xml:space="preserve"> </v>
      </c>
      <c r="AH50" s="413" t="str">
        <f t="shared" si="79"/>
        <v xml:space="preserve"> </v>
      </c>
      <c r="AI50" s="413" t="str">
        <f t="shared" si="80"/>
        <v xml:space="preserve"> </v>
      </c>
      <c r="AJ50" s="413" t="str">
        <f t="shared" si="81"/>
        <v xml:space="preserve"> </v>
      </c>
      <c r="AK50" s="413" t="str">
        <f t="shared" si="82"/>
        <v xml:space="preserve"> </v>
      </c>
      <c r="AL50" s="413" t="str">
        <f t="shared" si="83"/>
        <v xml:space="preserve"> </v>
      </c>
      <c r="AM50" s="413" t="str">
        <f t="shared" si="84"/>
        <v xml:space="preserve"> </v>
      </c>
      <c r="AN50" s="413" t="str">
        <f t="shared" si="7"/>
        <v xml:space="preserve"> </v>
      </c>
      <c r="AO50" s="413" t="str">
        <f t="shared" si="8"/>
        <v xml:space="preserve"> </v>
      </c>
      <c r="AP50" s="413" t="str">
        <f t="shared" si="9"/>
        <v xml:space="preserve"> </v>
      </c>
      <c r="AQ50" s="413" t="str">
        <f t="shared" si="10"/>
        <v xml:space="preserve"> </v>
      </c>
      <c r="AU50" s="438">
        <f t="shared" si="35"/>
        <v>0</v>
      </c>
      <c r="AV50" s="438" t="str">
        <f t="shared" si="36"/>
        <v/>
      </c>
      <c r="AW50" s="438">
        <f t="shared" si="77"/>
        <v>0</v>
      </c>
      <c r="AX50" s="438" t="str">
        <f t="shared" si="36"/>
        <v/>
      </c>
      <c r="AY50" s="438">
        <f t="shared" si="67"/>
        <v>0</v>
      </c>
      <c r="AZ50" s="438" t="str">
        <f t="shared" si="36"/>
        <v/>
      </c>
      <c r="BA50" s="438">
        <f t="shared" si="68"/>
        <v>0</v>
      </c>
      <c r="BB50" s="438" t="str">
        <f t="shared" si="36"/>
        <v/>
      </c>
      <c r="BC50" s="438">
        <f t="shared" si="69"/>
        <v>0</v>
      </c>
      <c r="BD50" s="438" t="str">
        <f t="shared" si="36"/>
        <v/>
      </c>
      <c r="BE50" s="438">
        <f t="shared" si="70"/>
        <v>0</v>
      </c>
      <c r="BF50" s="438" t="str">
        <f t="shared" si="36"/>
        <v/>
      </c>
      <c r="BG50" s="438">
        <f t="shared" si="71"/>
        <v>0</v>
      </c>
      <c r="BH50" s="438" t="str">
        <f t="shared" si="36"/>
        <v/>
      </c>
      <c r="BI50" s="438">
        <f t="shared" si="72"/>
        <v>0</v>
      </c>
      <c r="BJ50" s="438" t="str">
        <f t="shared" si="36"/>
        <v/>
      </c>
      <c r="BK50" s="438">
        <f t="shared" si="73"/>
        <v>0</v>
      </c>
      <c r="BL50" s="438" t="str">
        <f t="shared" si="85"/>
        <v/>
      </c>
      <c r="BM50" s="438">
        <f t="shared" si="74"/>
        <v>0</v>
      </c>
      <c r="BN50" s="438" t="str">
        <f t="shared" si="85"/>
        <v/>
      </c>
      <c r="BO50" s="438">
        <f t="shared" si="75"/>
        <v>0</v>
      </c>
      <c r="BP50" s="438" t="str">
        <f t="shared" si="85"/>
        <v/>
      </c>
      <c r="BQ50" s="438">
        <f t="shared" si="76"/>
        <v>0</v>
      </c>
      <c r="BR50" s="438" t="str">
        <f t="shared" si="85"/>
        <v/>
      </c>
      <c r="BV50" s="439">
        <f t="shared" si="38"/>
        <v>8</v>
      </c>
      <c r="BW50" s="439">
        <f>IF(BV50=8,'JSM Jahresdauerlinie'!$E$26,E50)</f>
        <v>9.9999999999999995E-7</v>
      </c>
      <c r="BX50" s="439">
        <f t="shared" si="39"/>
        <v>8</v>
      </c>
      <c r="BY50" s="439">
        <f>IF(BX50=8,'JSM Jahresdauerlinie'!$E$26,G50)</f>
        <v>9.9999999999999995E-7</v>
      </c>
      <c r="BZ50" s="439">
        <f t="shared" si="40"/>
        <v>8</v>
      </c>
      <c r="CA50" s="439">
        <f>IF(BZ50=8,'JSM Jahresdauerlinie'!$E$26,I50)</f>
        <v>9.9999999999999995E-7</v>
      </c>
      <c r="CB50" s="439">
        <f t="shared" si="41"/>
        <v>8</v>
      </c>
      <c r="CC50" s="439">
        <f>IF(CB50=8,'JSM Jahresdauerlinie'!$E$26,K50)</f>
        <v>9.9999999999999995E-7</v>
      </c>
      <c r="CD50" s="439">
        <f t="shared" si="42"/>
        <v>8</v>
      </c>
      <c r="CE50" s="439">
        <f>IF(CD50=8,'JSM Jahresdauerlinie'!$E$26,M50)</f>
        <v>9.9999999999999995E-7</v>
      </c>
      <c r="CF50" s="439">
        <f t="shared" si="43"/>
        <v>8</v>
      </c>
      <c r="CG50" s="439">
        <f>IF(CF50=8,'JSM Jahresdauerlinie'!$E$26,O50)</f>
        <v>9.9999999999999995E-7</v>
      </c>
      <c r="CH50" s="439">
        <f t="shared" si="44"/>
        <v>8</v>
      </c>
      <c r="CI50" s="439">
        <f>IF(CH50=8,'JSM Jahresdauerlinie'!$E$26,Q50)</f>
        <v>9.9999999999999995E-7</v>
      </c>
      <c r="CJ50" s="439">
        <f t="shared" si="45"/>
        <v>8</v>
      </c>
      <c r="CK50" s="439">
        <f>IF(CJ50=8,'JSM Jahresdauerlinie'!$E$26,S50)</f>
        <v>9.9999999999999995E-7</v>
      </c>
      <c r="CL50" s="439">
        <f t="shared" si="46"/>
        <v>8</v>
      </c>
      <c r="CM50" s="439">
        <f>IF(CL50=8,'JSM Jahresdauerlinie'!$E$26,U50)</f>
        <v>9.9999999999999995E-7</v>
      </c>
      <c r="CN50" s="439">
        <f t="shared" si="47"/>
        <v>8</v>
      </c>
      <c r="CO50" s="439">
        <f>IF(CN50=8,'JSM Jahresdauerlinie'!$E$26,W50)</f>
        <v>9.9999999999999995E-7</v>
      </c>
      <c r="CP50" s="439">
        <f t="shared" si="48"/>
        <v>8</v>
      </c>
      <c r="CQ50" s="439">
        <f>IF(CP50=8,'JSM Jahresdauerlinie'!$E$26,Y50)</f>
        <v>9.9999999999999995E-7</v>
      </c>
      <c r="CR50" s="439">
        <f t="shared" si="49"/>
        <v>8</v>
      </c>
      <c r="CS50" s="439">
        <f>IF(CR50=8,'JSM Jahresdauerlinie'!$E$26,AA50)</f>
        <v>9.9999999999999995E-7</v>
      </c>
      <c r="CT50" s="440"/>
      <c r="CW50" s="435">
        <f>IF(D50=8,'JSM Jahresdauerlinie'!$E$26,IF(BW50=0," ",BW50))</f>
        <v>9.9999999999999995E-7</v>
      </c>
      <c r="CX50" s="435">
        <f>IF(F50=8,'JSM Jahresdauerlinie'!$E$26,IF(BY50=0," ",BY50))</f>
        <v>9.9999999999999995E-7</v>
      </c>
      <c r="CY50" s="435">
        <f>IF(H50=8,'JSM Jahresdauerlinie'!$E$26,IF(CA50=0," ",CA50))</f>
        <v>9.9999999999999995E-7</v>
      </c>
      <c r="CZ50" s="435">
        <f>IF(J50=8,'JSM Jahresdauerlinie'!$E$26,IF(CC50=0," ",CC50))</f>
        <v>9.9999999999999995E-7</v>
      </c>
      <c r="DA50" s="435">
        <f>IF(L50=8,'JSM Jahresdauerlinie'!$E$26,IF(CE50=0," ",CE50))</f>
        <v>9.9999999999999995E-7</v>
      </c>
      <c r="DB50" s="435">
        <f>IF(N50=8,'JSM Jahresdauerlinie'!$E$26,IF(CG50=0," ",CG50))</f>
        <v>9.9999999999999995E-7</v>
      </c>
      <c r="DC50" s="435">
        <f>IF(P50=8,'JSM Jahresdauerlinie'!$E$26,IF(CI50=0," ",CI50))</f>
        <v>9.9999999999999995E-7</v>
      </c>
      <c r="DD50" s="435">
        <f>IF(R50=8,'JSM Jahresdauerlinie'!$E$26,IF(CK50=0," ",CK50))</f>
        <v>9.9999999999999995E-7</v>
      </c>
      <c r="DE50" s="435">
        <f>IF(T50=8,'JSM Jahresdauerlinie'!$E$26,IF(CM50=0," ",CM50))</f>
        <v>9.9999999999999995E-7</v>
      </c>
      <c r="DF50" s="435">
        <f>IF(V50=8,'JSM Jahresdauerlinie'!$E$26,IF(CO50=0," ",CO50))</f>
        <v>9.9999999999999995E-7</v>
      </c>
      <c r="DG50" s="435">
        <f>IF(X50=8,'JSM Jahresdauerlinie'!$E$26,IF(CQ50=0," ",CQ50))</f>
        <v>9.9999999999999995E-7</v>
      </c>
      <c r="DH50" s="435">
        <f>IF(Z50=8,'JSM Jahresdauerlinie'!$E$26,IF(CS50=0," ",CS50))</f>
        <v>9.9999999999999995E-7</v>
      </c>
      <c r="DJ50" s="441">
        <f t="shared" si="50"/>
        <v>9.9999999999999995E-7</v>
      </c>
      <c r="DK50" s="441">
        <f t="shared" si="86"/>
        <v>9.9999999999999995E-7</v>
      </c>
      <c r="DL50" s="441">
        <f t="shared" si="87"/>
        <v>9.9999999999999995E-7</v>
      </c>
      <c r="DM50" s="441">
        <f t="shared" si="88"/>
        <v>9.9999999999999995E-7</v>
      </c>
      <c r="DN50" s="441">
        <f t="shared" si="89"/>
        <v>9.9999999999999995E-7</v>
      </c>
      <c r="DO50" s="441">
        <f t="shared" si="90"/>
        <v>9.9999999999999995E-7</v>
      </c>
      <c r="DP50" s="441">
        <f t="shared" si="91"/>
        <v>9.9999999999999995E-7</v>
      </c>
      <c r="DQ50" s="441">
        <f t="shared" si="92"/>
        <v>9.9999999999999995E-7</v>
      </c>
      <c r="DR50" s="441">
        <f t="shared" si="93"/>
        <v>9.9999999999999995E-7</v>
      </c>
      <c r="DS50" s="441">
        <f t="shared" si="94"/>
        <v>9.9999999999999995E-7</v>
      </c>
      <c r="DT50" s="441">
        <f t="shared" si="95"/>
        <v>9.9999999999999995E-7</v>
      </c>
      <c r="DU50" s="441">
        <f t="shared" si="96"/>
        <v>9.9999999999999995E-7</v>
      </c>
      <c r="DX50" s="435">
        <f t="shared" si="61"/>
        <v>8</v>
      </c>
      <c r="DY50" s="435">
        <f t="shared" si="24"/>
        <v>8</v>
      </c>
      <c r="DZ50" s="435">
        <f t="shared" si="25"/>
        <v>8</v>
      </c>
      <c r="EA50" s="435">
        <f t="shared" si="26"/>
        <v>8</v>
      </c>
      <c r="EB50" s="435">
        <f t="shared" si="27"/>
        <v>8</v>
      </c>
      <c r="EC50" s="435">
        <f t="shared" si="28"/>
        <v>8</v>
      </c>
      <c r="ED50" s="435">
        <f t="shared" si="62"/>
        <v>8</v>
      </c>
      <c r="EE50" s="435">
        <f t="shared" si="29"/>
        <v>8</v>
      </c>
      <c r="EF50" s="435">
        <f t="shared" si="30"/>
        <v>8</v>
      </c>
      <c r="EG50" s="435">
        <f t="shared" si="31"/>
        <v>8</v>
      </c>
      <c r="EH50" s="435">
        <f t="shared" si="32"/>
        <v>8</v>
      </c>
      <c r="EI50" s="435">
        <f t="shared" si="33"/>
        <v>8</v>
      </c>
      <c r="EK50" s="441" t="str">
        <f t="shared" si="63"/>
        <v xml:space="preserve"> </v>
      </c>
      <c r="EL50" s="441" t="str">
        <f t="shared" si="64"/>
        <v xml:space="preserve"> </v>
      </c>
      <c r="EM50" s="441" t="str">
        <f t="shared" si="63"/>
        <v xml:space="preserve"> </v>
      </c>
      <c r="EN50" s="441" t="str">
        <f t="shared" si="64"/>
        <v xml:space="preserve"> </v>
      </c>
      <c r="EO50" s="441" t="str">
        <f t="shared" si="63"/>
        <v xml:space="preserve"> </v>
      </c>
      <c r="EP50" s="441" t="str">
        <f t="shared" si="64"/>
        <v xml:space="preserve"> </v>
      </c>
      <c r="EQ50" s="441" t="str">
        <f t="shared" si="63"/>
        <v xml:space="preserve"> </v>
      </c>
      <c r="ER50" s="441" t="str">
        <f t="shared" si="64"/>
        <v xml:space="preserve"> </v>
      </c>
      <c r="ES50" s="441" t="str">
        <f t="shared" si="63"/>
        <v xml:space="preserve"> </v>
      </c>
      <c r="ET50" s="441" t="str">
        <f t="shared" si="64"/>
        <v xml:space="preserve"> </v>
      </c>
      <c r="EU50" s="441" t="str">
        <f t="shared" si="63"/>
        <v xml:space="preserve"> </v>
      </c>
      <c r="EV50" s="441" t="str">
        <f t="shared" si="64"/>
        <v xml:space="preserve"> </v>
      </c>
      <c r="EW50" s="441" t="str">
        <f t="shared" si="63"/>
        <v xml:space="preserve"> </v>
      </c>
      <c r="EX50" s="441" t="str">
        <f t="shared" si="64"/>
        <v xml:space="preserve"> </v>
      </c>
      <c r="EY50" s="441" t="str">
        <f t="shared" si="63"/>
        <v xml:space="preserve"> </v>
      </c>
      <c r="EZ50" s="441" t="str">
        <f t="shared" si="64"/>
        <v xml:space="preserve"> </v>
      </c>
      <c r="FA50" s="441" t="str">
        <f t="shared" si="97"/>
        <v xml:space="preserve"> </v>
      </c>
      <c r="FB50" s="441" t="str">
        <f t="shared" si="98"/>
        <v xml:space="preserve"> </v>
      </c>
      <c r="FC50" s="441" t="str">
        <f t="shared" si="97"/>
        <v xml:space="preserve"> </v>
      </c>
      <c r="FD50" s="441" t="str">
        <f t="shared" si="98"/>
        <v xml:space="preserve"> </v>
      </c>
      <c r="FE50" s="441" t="str">
        <f t="shared" si="97"/>
        <v xml:space="preserve"> </v>
      </c>
      <c r="FF50" s="441" t="str">
        <f t="shared" si="98"/>
        <v xml:space="preserve"> </v>
      </c>
      <c r="FG50" s="437" t="str">
        <f t="shared" si="97"/>
        <v xml:space="preserve"> </v>
      </c>
      <c r="FH50" s="441" t="str">
        <f t="shared" si="98"/>
        <v xml:space="preserve"> </v>
      </c>
    </row>
    <row r="51" spans="1:164" ht="14.25" x14ac:dyDescent="0.2">
      <c r="B51" s="210">
        <v>20</v>
      </c>
      <c r="D51" s="740"/>
      <c r="E51" s="740"/>
      <c r="F51" s="745"/>
      <c r="G51" s="740"/>
      <c r="H51" s="740"/>
      <c r="I51" s="740"/>
      <c r="J51" s="740"/>
      <c r="K51" s="740"/>
      <c r="L51" s="745"/>
      <c r="M51" s="740"/>
      <c r="N51" s="740"/>
      <c r="O51" s="740"/>
      <c r="P51" s="740"/>
      <c r="Q51" s="740"/>
      <c r="R51" s="740"/>
      <c r="S51" s="740"/>
      <c r="T51" s="740"/>
      <c r="U51" s="740"/>
      <c r="V51" s="740"/>
      <c r="W51" s="740"/>
      <c r="X51" s="741"/>
      <c r="Y51" s="740"/>
      <c r="Z51" s="745"/>
      <c r="AA51" s="740"/>
      <c r="AF51" s="413" t="str">
        <f t="shared" si="34"/>
        <v xml:space="preserve"> </v>
      </c>
      <c r="AG51" s="413" t="str">
        <f t="shared" si="78"/>
        <v xml:space="preserve"> </v>
      </c>
      <c r="AH51" s="413" t="str">
        <f t="shared" si="79"/>
        <v xml:space="preserve"> </v>
      </c>
      <c r="AI51" s="413" t="str">
        <f t="shared" si="80"/>
        <v xml:space="preserve"> </v>
      </c>
      <c r="AJ51" s="413" t="str">
        <f t="shared" si="81"/>
        <v xml:space="preserve"> </v>
      </c>
      <c r="AK51" s="413" t="str">
        <f t="shared" si="82"/>
        <v xml:space="preserve"> </v>
      </c>
      <c r="AL51" s="413" t="str">
        <f t="shared" si="83"/>
        <v xml:space="preserve"> </v>
      </c>
      <c r="AM51" s="413" t="str">
        <f t="shared" si="84"/>
        <v xml:space="preserve"> </v>
      </c>
      <c r="AN51" s="413" t="str">
        <f t="shared" si="7"/>
        <v xml:space="preserve"> </v>
      </c>
      <c r="AO51" s="413" t="str">
        <f t="shared" si="8"/>
        <v xml:space="preserve"> </v>
      </c>
      <c r="AP51" s="413" t="str">
        <f t="shared" si="9"/>
        <v xml:space="preserve"> </v>
      </c>
      <c r="AQ51" s="413" t="str">
        <f t="shared" si="10"/>
        <v xml:space="preserve"> </v>
      </c>
      <c r="AU51" s="438">
        <f t="shared" si="35"/>
        <v>0</v>
      </c>
      <c r="AV51" s="438" t="str">
        <f t="shared" si="36"/>
        <v/>
      </c>
      <c r="AW51" s="438">
        <f t="shared" si="77"/>
        <v>0</v>
      </c>
      <c r="AX51" s="438" t="str">
        <f t="shared" si="36"/>
        <v/>
      </c>
      <c r="AY51" s="438">
        <f t="shared" si="67"/>
        <v>0</v>
      </c>
      <c r="AZ51" s="438" t="str">
        <f t="shared" si="36"/>
        <v/>
      </c>
      <c r="BA51" s="438">
        <f t="shared" si="68"/>
        <v>0</v>
      </c>
      <c r="BB51" s="438" t="str">
        <f t="shared" si="36"/>
        <v/>
      </c>
      <c r="BC51" s="438">
        <f t="shared" si="69"/>
        <v>0</v>
      </c>
      <c r="BD51" s="438" t="str">
        <f t="shared" si="36"/>
        <v/>
      </c>
      <c r="BE51" s="438">
        <f t="shared" si="70"/>
        <v>0</v>
      </c>
      <c r="BF51" s="438" t="str">
        <f t="shared" si="36"/>
        <v/>
      </c>
      <c r="BG51" s="438">
        <f t="shared" si="71"/>
        <v>0</v>
      </c>
      <c r="BH51" s="438" t="str">
        <f t="shared" si="36"/>
        <v/>
      </c>
      <c r="BI51" s="438">
        <f t="shared" si="72"/>
        <v>0</v>
      </c>
      <c r="BJ51" s="438" t="str">
        <f t="shared" si="36"/>
        <v/>
      </c>
      <c r="BK51" s="438">
        <f t="shared" si="73"/>
        <v>0</v>
      </c>
      <c r="BL51" s="438" t="str">
        <f t="shared" si="85"/>
        <v/>
      </c>
      <c r="BM51" s="438">
        <f t="shared" si="74"/>
        <v>0</v>
      </c>
      <c r="BN51" s="438" t="str">
        <f t="shared" si="85"/>
        <v/>
      </c>
      <c r="BO51" s="438">
        <f t="shared" si="75"/>
        <v>0</v>
      </c>
      <c r="BP51" s="438" t="str">
        <f t="shared" si="85"/>
        <v/>
      </c>
      <c r="BQ51" s="438">
        <f t="shared" si="76"/>
        <v>0</v>
      </c>
      <c r="BR51" s="438" t="str">
        <f t="shared" si="85"/>
        <v/>
      </c>
      <c r="BV51" s="439">
        <f t="shared" si="38"/>
        <v>8</v>
      </c>
      <c r="BW51" s="439">
        <f>IF(BV51=8,'JSM Jahresdauerlinie'!$E$26,E51)</f>
        <v>9.9999999999999995E-7</v>
      </c>
      <c r="BX51" s="439">
        <f t="shared" si="39"/>
        <v>8</v>
      </c>
      <c r="BY51" s="439">
        <f>IF(BX51=8,'JSM Jahresdauerlinie'!$E$26,G51)</f>
        <v>9.9999999999999995E-7</v>
      </c>
      <c r="BZ51" s="439">
        <f t="shared" si="40"/>
        <v>8</v>
      </c>
      <c r="CA51" s="439">
        <f>IF(BZ51=8,'JSM Jahresdauerlinie'!$E$26,I51)</f>
        <v>9.9999999999999995E-7</v>
      </c>
      <c r="CB51" s="439">
        <f t="shared" si="41"/>
        <v>8</v>
      </c>
      <c r="CC51" s="439">
        <f>IF(CB51=8,'JSM Jahresdauerlinie'!$E$26,K51)</f>
        <v>9.9999999999999995E-7</v>
      </c>
      <c r="CD51" s="439">
        <f t="shared" si="42"/>
        <v>8</v>
      </c>
      <c r="CE51" s="439">
        <f>IF(CD51=8,'JSM Jahresdauerlinie'!$E$26,M51)</f>
        <v>9.9999999999999995E-7</v>
      </c>
      <c r="CF51" s="439">
        <f t="shared" si="43"/>
        <v>8</v>
      </c>
      <c r="CG51" s="439">
        <f>IF(CF51=8,'JSM Jahresdauerlinie'!$E$26,O51)</f>
        <v>9.9999999999999995E-7</v>
      </c>
      <c r="CH51" s="439">
        <f t="shared" si="44"/>
        <v>8</v>
      </c>
      <c r="CI51" s="439">
        <f>IF(CH51=8,'JSM Jahresdauerlinie'!$E$26,Q51)</f>
        <v>9.9999999999999995E-7</v>
      </c>
      <c r="CJ51" s="439">
        <f t="shared" si="45"/>
        <v>8</v>
      </c>
      <c r="CK51" s="439">
        <f>IF(CJ51=8,'JSM Jahresdauerlinie'!$E$26,S51)</f>
        <v>9.9999999999999995E-7</v>
      </c>
      <c r="CL51" s="439">
        <f t="shared" si="46"/>
        <v>8</v>
      </c>
      <c r="CM51" s="439">
        <f>IF(CL51=8,'JSM Jahresdauerlinie'!$E$26,U51)</f>
        <v>9.9999999999999995E-7</v>
      </c>
      <c r="CN51" s="439">
        <f t="shared" si="47"/>
        <v>8</v>
      </c>
      <c r="CO51" s="439">
        <f>IF(CN51=8,'JSM Jahresdauerlinie'!$E$26,W51)</f>
        <v>9.9999999999999995E-7</v>
      </c>
      <c r="CP51" s="439">
        <f t="shared" si="48"/>
        <v>8</v>
      </c>
      <c r="CQ51" s="439">
        <f>IF(CP51=8,'JSM Jahresdauerlinie'!$E$26,Y51)</f>
        <v>9.9999999999999995E-7</v>
      </c>
      <c r="CR51" s="439">
        <f t="shared" si="49"/>
        <v>8</v>
      </c>
      <c r="CS51" s="439">
        <f>IF(CR51=8,'JSM Jahresdauerlinie'!$E$26,AA51)</f>
        <v>9.9999999999999995E-7</v>
      </c>
      <c r="CT51" s="440"/>
      <c r="CW51" s="435">
        <f>IF(D51=8,'JSM Jahresdauerlinie'!$E$26,IF(BW51=0," ",BW51))</f>
        <v>9.9999999999999995E-7</v>
      </c>
      <c r="CX51" s="435">
        <f>IF(F51=8,'JSM Jahresdauerlinie'!$E$26,IF(BY51=0," ",BY51))</f>
        <v>9.9999999999999995E-7</v>
      </c>
      <c r="CY51" s="435">
        <f>IF(H51=8,'JSM Jahresdauerlinie'!$E$26,IF(CA51=0," ",CA51))</f>
        <v>9.9999999999999995E-7</v>
      </c>
      <c r="CZ51" s="435">
        <f>IF(J51=8,'JSM Jahresdauerlinie'!$E$26,IF(CC51=0," ",CC51))</f>
        <v>9.9999999999999995E-7</v>
      </c>
      <c r="DA51" s="435">
        <f>IF(L51=8,'JSM Jahresdauerlinie'!$E$26,IF(CE51=0," ",CE51))</f>
        <v>9.9999999999999995E-7</v>
      </c>
      <c r="DB51" s="435">
        <f>IF(N51=8,'JSM Jahresdauerlinie'!$E$26,IF(CG51=0," ",CG51))</f>
        <v>9.9999999999999995E-7</v>
      </c>
      <c r="DC51" s="435">
        <f>IF(P51=8,'JSM Jahresdauerlinie'!$E$26,IF(CI51=0," ",CI51))</f>
        <v>9.9999999999999995E-7</v>
      </c>
      <c r="DD51" s="435">
        <f>IF(R51=8,'JSM Jahresdauerlinie'!$E$26,IF(CK51=0," ",CK51))</f>
        <v>9.9999999999999995E-7</v>
      </c>
      <c r="DE51" s="435">
        <f>IF(T51=8,'JSM Jahresdauerlinie'!$E$26,IF(CM51=0," ",CM51))</f>
        <v>9.9999999999999995E-7</v>
      </c>
      <c r="DF51" s="435">
        <f>IF(V51=8,'JSM Jahresdauerlinie'!$E$26,IF(CO51=0," ",CO51))</f>
        <v>9.9999999999999995E-7</v>
      </c>
      <c r="DG51" s="435">
        <f>IF(X51=8,'JSM Jahresdauerlinie'!$E$26,IF(CQ51=0," ",CQ51))</f>
        <v>9.9999999999999995E-7</v>
      </c>
      <c r="DH51" s="435">
        <f>IF(Z51=8,'JSM Jahresdauerlinie'!$E$26,IF(CS51=0," ",CS51))</f>
        <v>9.9999999999999995E-7</v>
      </c>
      <c r="DJ51" s="441">
        <f t="shared" si="50"/>
        <v>9.9999999999999995E-7</v>
      </c>
      <c r="DK51" s="441">
        <f t="shared" si="86"/>
        <v>9.9999999999999995E-7</v>
      </c>
      <c r="DL51" s="441">
        <f t="shared" si="87"/>
        <v>9.9999999999999995E-7</v>
      </c>
      <c r="DM51" s="441">
        <f t="shared" si="88"/>
        <v>9.9999999999999995E-7</v>
      </c>
      <c r="DN51" s="441">
        <f t="shared" si="89"/>
        <v>9.9999999999999995E-7</v>
      </c>
      <c r="DO51" s="441">
        <f t="shared" si="90"/>
        <v>9.9999999999999995E-7</v>
      </c>
      <c r="DP51" s="441">
        <f t="shared" si="91"/>
        <v>9.9999999999999995E-7</v>
      </c>
      <c r="DQ51" s="441">
        <f t="shared" si="92"/>
        <v>9.9999999999999995E-7</v>
      </c>
      <c r="DR51" s="441">
        <f t="shared" si="93"/>
        <v>9.9999999999999995E-7</v>
      </c>
      <c r="DS51" s="441">
        <f t="shared" si="94"/>
        <v>9.9999999999999995E-7</v>
      </c>
      <c r="DT51" s="441">
        <f t="shared" si="95"/>
        <v>9.9999999999999995E-7</v>
      </c>
      <c r="DU51" s="441">
        <f t="shared" si="96"/>
        <v>9.9999999999999995E-7</v>
      </c>
      <c r="DX51" s="435">
        <f t="shared" si="61"/>
        <v>8</v>
      </c>
      <c r="DY51" s="435">
        <f t="shared" si="24"/>
        <v>8</v>
      </c>
      <c r="DZ51" s="435">
        <f t="shared" si="25"/>
        <v>8</v>
      </c>
      <c r="EA51" s="435">
        <f t="shared" si="26"/>
        <v>8</v>
      </c>
      <c r="EB51" s="435">
        <f t="shared" si="27"/>
        <v>8</v>
      </c>
      <c r="EC51" s="435">
        <f t="shared" si="28"/>
        <v>8</v>
      </c>
      <c r="ED51" s="435">
        <f t="shared" si="62"/>
        <v>8</v>
      </c>
      <c r="EE51" s="435">
        <f t="shared" si="29"/>
        <v>8</v>
      </c>
      <c r="EF51" s="435">
        <f t="shared" si="30"/>
        <v>8</v>
      </c>
      <c r="EG51" s="435">
        <f t="shared" si="31"/>
        <v>8</v>
      </c>
      <c r="EH51" s="435">
        <f t="shared" si="32"/>
        <v>8</v>
      </c>
      <c r="EI51" s="435">
        <f t="shared" si="33"/>
        <v>8</v>
      </c>
      <c r="EK51" s="441" t="str">
        <f t="shared" si="63"/>
        <v xml:space="preserve"> </v>
      </c>
      <c r="EL51" s="441" t="str">
        <f t="shared" si="64"/>
        <v xml:space="preserve"> </v>
      </c>
      <c r="EM51" s="441" t="str">
        <f t="shared" si="63"/>
        <v xml:space="preserve"> </v>
      </c>
      <c r="EN51" s="441" t="str">
        <f t="shared" si="64"/>
        <v xml:space="preserve"> </v>
      </c>
      <c r="EO51" s="441" t="str">
        <f t="shared" si="63"/>
        <v xml:space="preserve"> </v>
      </c>
      <c r="EP51" s="441" t="str">
        <f t="shared" si="64"/>
        <v xml:space="preserve"> </v>
      </c>
      <c r="EQ51" s="441" t="str">
        <f t="shared" si="63"/>
        <v xml:space="preserve"> </v>
      </c>
      <c r="ER51" s="441" t="str">
        <f t="shared" si="64"/>
        <v xml:space="preserve"> </v>
      </c>
      <c r="ES51" s="441" t="str">
        <f t="shared" si="63"/>
        <v xml:space="preserve"> </v>
      </c>
      <c r="ET51" s="441" t="str">
        <f t="shared" si="64"/>
        <v xml:space="preserve"> </v>
      </c>
      <c r="EU51" s="441" t="str">
        <f t="shared" si="63"/>
        <v xml:space="preserve"> </v>
      </c>
      <c r="EV51" s="441" t="str">
        <f t="shared" si="64"/>
        <v xml:space="preserve"> </v>
      </c>
      <c r="EW51" s="441" t="str">
        <f t="shared" si="63"/>
        <v xml:space="preserve"> </v>
      </c>
      <c r="EX51" s="441" t="str">
        <f t="shared" si="64"/>
        <v xml:space="preserve"> </v>
      </c>
      <c r="EY51" s="441" t="str">
        <f t="shared" si="63"/>
        <v xml:space="preserve"> </v>
      </c>
      <c r="EZ51" s="441" t="str">
        <f t="shared" si="64"/>
        <v xml:space="preserve"> </v>
      </c>
      <c r="FA51" s="441" t="str">
        <f t="shared" si="97"/>
        <v xml:space="preserve"> </v>
      </c>
      <c r="FB51" s="441" t="str">
        <f t="shared" si="98"/>
        <v xml:space="preserve"> </v>
      </c>
      <c r="FC51" s="441" t="str">
        <f t="shared" si="97"/>
        <v xml:space="preserve"> </v>
      </c>
      <c r="FD51" s="441" t="str">
        <f t="shared" si="98"/>
        <v xml:space="preserve"> </v>
      </c>
      <c r="FE51" s="441" t="str">
        <f t="shared" si="97"/>
        <v xml:space="preserve"> </v>
      </c>
      <c r="FF51" s="441" t="str">
        <f t="shared" si="98"/>
        <v xml:space="preserve"> </v>
      </c>
      <c r="FG51" s="437" t="str">
        <f t="shared" si="97"/>
        <v xml:space="preserve"> </v>
      </c>
      <c r="FH51" s="441" t="str">
        <f t="shared" si="98"/>
        <v xml:space="preserve"> </v>
      </c>
    </row>
    <row r="52" spans="1:164" ht="14.25" x14ac:dyDescent="0.2">
      <c r="B52" s="210">
        <v>21</v>
      </c>
      <c r="D52" s="740"/>
      <c r="E52" s="740"/>
      <c r="F52" s="745"/>
      <c r="G52" s="740"/>
      <c r="H52" s="745"/>
      <c r="I52" s="740"/>
      <c r="J52" s="740"/>
      <c r="K52" s="740"/>
      <c r="L52" s="740"/>
      <c r="M52" s="740"/>
      <c r="N52" s="740"/>
      <c r="O52" s="740"/>
      <c r="P52" s="740"/>
      <c r="Q52" s="740"/>
      <c r="R52" s="740"/>
      <c r="S52" s="740"/>
      <c r="T52" s="740"/>
      <c r="U52" s="740"/>
      <c r="V52" s="740"/>
      <c r="W52" s="740"/>
      <c r="X52" s="741"/>
      <c r="Y52" s="740"/>
      <c r="Z52" s="740"/>
      <c r="AA52" s="740"/>
      <c r="AF52" s="413" t="str">
        <f t="shared" si="34"/>
        <v xml:space="preserve"> </v>
      </c>
      <c r="AG52" s="413" t="str">
        <f t="shared" si="78"/>
        <v xml:space="preserve"> </v>
      </c>
      <c r="AH52" s="413" t="str">
        <f t="shared" si="79"/>
        <v xml:space="preserve"> </v>
      </c>
      <c r="AI52" s="413" t="str">
        <f t="shared" si="80"/>
        <v xml:space="preserve"> </v>
      </c>
      <c r="AJ52" s="413" t="str">
        <f t="shared" si="81"/>
        <v xml:space="preserve"> </v>
      </c>
      <c r="AK52" s="413" t="str">
        <f t="shared" si="82"/>
        <v xml:space="preserve"> </v>
      </c>
      <c r="AL52" s="413" t="str">
        <f t="shared" si="83"/>
        <v xml:space="preserve"> </v>
      </c>
      <c r="AM52" s="413" t="str">
        <f t="shared" si="84"/>
        <v xml:space="preserve"> </v>
      </c>
      <c r="AN52" s="413" t="str">
        <f t="shared" si="7"/>
        <v xml:space="preserve"> </v>
      </c>
      <c r="AO52" s="413" t="str">
        <f t="shared" si="8"/>
        <v xml:space="preserve"> </v>
      </c>
      <c r="AP52" s="413" t="str">
        <f t="shared" si="9"/>
        <v xml:space="preserve"> </v>
      </c>
      <c r="AQ52" s="413" t="str">
        <f t="shared" si="10"/>
        <v xml:space="preserve"> </v>
      </c>
      <c r="AU52" s="438">
        <f t="shared" si="35"/>
        <v>0</v>
      </c>
      <c r="AV52" s="438" t="str">
        <f t="shared" si="36"/>
        <v/>
      </c>
      <c r="AW52" s="438">
        <f t="shared" si="77"/>
        <v>0</v>
      </c>
      <c r="AX52" s="438" t="str">
        <f t="shared" si="36"/>
        <v/>
      </c>
      <c r="AY52" s="438">
        <f t="shared" si="67"/>
        <v>0</v>
      </c>
      <c r="AZ52" s="438" t="str">
        <f t="shared" si="36"/>
        <v/>
      </c>
      <c r="BA52" s="438">
        <f t="shared" si="68"/>
        <v>0</v>
      </c>
      <c r="BB52" s="438" t="str">
        <f t="shared" si="36"/>
        <v/>
      </c>
      <c r="BC52" s="438">
        <f t="shared" si="69"/>
        <v>0</v>
      </c>
      <c r="BD52" s="438" t="str">
        <f t="shared" si="36"/>
        <v/>
      </c>
      <c r="BE52" s="438">
        <f t="shared" si="70"/>
        <v>0</v>
      </c>
      <c r="BF52" s="438" t="str">
        <f t="shared" si="36"/>
        <v/>
      </c>
      <c r="BG52" s="438">
        <f t="shared" si="71"/>
        <v>0</v>
      </c>
      <c r="BH52" s="438" t="str">
        <f t="shared" si="36"/>
        <v/>
      </c>
      <c r="BI52" s="438">
        <f t="shared" si="72"/>
        <v>0</v>
      </c>
      <c r="BJ52" s="438" t="str">
        <f t="shared" si="36"/>
        <v/>
      </c>
      <c r="BK52" s="438">
        <f t="shared" si="73"/>
        <v>0</v>
      </c>
      <c r="BL52" s="438" t="str">
        <f t="shared" si="85"/>
        <v/>
      </c>
      <c r="BM52" s="438">
        <f t="shared" si="74"/>
        <v>0</v>
      </c>
      <c r="BN52" s="438" t="str">
        <f t="shared" si="85"/>
        <v/>
      </c>
      <c r="BO52" s="438">
        <f t="shared" si="75"/>
        <v>0</v>
      </c>
      <c r="BP52" s="438" t="str">
        <f t="shared" si="85"/>
        <v/>
      </c>
      <c r="BQ52" s="438">
        <f t="shared" si="76"/>
        <v>0</v>
      </c>
      <c r="BR52" s="438" t="str">
        <f t="shared" si="85"/>
        <v/>
      </c>
      <c r="BV52" s="439">
        <f t="shared" si="38"/>
        <v>8</v>
      </c>
      <c r="BW52" s="439">
        <f>IF(BV52=8,'JSM Jahresdauerlinie'!$E$26,E52)</f>
        <v>9.9999999999999995E-7</v>
      </c>
      <c r="BX52" s="439">
        <f t="shared" si="39"/>
        <v>8</v>
      </c>
      <c r="BY52" s="439">
        <f>IF(BX52=8,'JSM Jahresdauerlinie'!$E$26,G52)</f>
        <v>9.9999999999999995E-7</v>
      </c>
      <c r="BZ52" s="439">
        <f t="shared" si="40"/>
        <v>8</v>
      </c>
      <c r="CA52" s="439">
        <f>IF(BZ52=8,'JSM Jahresdauerlinie'!$E$26,I52)</f>
        <v>9.9999999999999995E-7</v>
      </c>
      <c r="CB52" s="439">
        <f t="shared" si="41"/>
        <v>8</v>
      </c>
      <c r="CC52" s="439">
        <f>IF(CB52=8,'JSM Jahresdauerlinie'!$E$26,K52)</f>
        <v>9.9999999999999995E-7</v>
      </c>
      <c r="CD52" s="439">
        <f t="shared" si="42"/>
        <v>8</v>
      </c>
      <c r="CE52" s="439">
        <f>IF(CD52=8,'JSM Jahresdauerlinie'!$E$26,M52)</f>
        <v>9.9999999999999995E-7</v>
      </c>
      <c r="CF52" s="439">
        <f t="shared" si="43"/>
        <v>8</v>
      </c>
      <c r="CG52" s="439">
        <f>IF(CF52=8,'JSM Jahresdauerlinie'!$E$26,O52)</f>
        <v>9.9999999999999995E-7</v>
      </c>
      <c r="CH52" s="439">
        <f t="shared" si="44"/>
        <v>8</v>
      </c>
      <c r="CI52" s="439">
        <f>IF(CH52=8,'JSM Jahresdauerlinie'!$E$26,Q52)</f>
        <v>9.9999999999999995E-7</v>
      </c>
      <c r="CJ52" s="439">
        <f t="shared" si="45"/>
        <v>8</v>
      </c>
      <c r="CK52" s="439">
        <f>IF(CJ52=8,'JSM Jahresdauerlinie'!$E$26,S52)</f>
        <v>9.9999999999999995E-7</v>
      </c>
      <c r="CL52" s="439">
        <f t="shared" si="46"/>
        <v>8</v>
      </c>
      <c r="CM52" s="439">
        <f>IF(CL52=8,'JSM Jahresdauerlinie'!$E$26,U52)</f>
        <v>9.9999999999999995E-7</v>
      </c>
      <c r="CN52" s="439">
        <f t="shared" si="47"/>
        <v>8</v>
      </c>
      <c r="CO52" s="439">
        <f>IF(CN52=8,'JSM Jahresdauerlinie'!$E$26,W52)</f>
        <v>9.9999999999999995E-7</v>
      </c>
      <c r="CP52" s="439">
        <f t="shared" si="48"/>
        <v>8</v>
      </c>
      <c r="CQ52" s="439">
        <f>IF(CP52=8,'JSM Jahresdauerlinie'!$E$26,Y52)</f>
        <v>9.9999999999999995E-7</v>
      </c>
      <c r="CR52" s="439">
        <f t="shared" si="49"/>
        <v>8</v>
      </c>
      <c r="CS52" s="439">
        <f>IF(CR52=8,'JSM Jahresdauerlinie'!$E$26,AA52)</f>
        <v>9.9999999999999995E-7</v>
      </c>
      <c r="CT52" s="440"/>
      <c r="CW52" s="435">
        <f>IF(D52=8,'JSM Jahresdauerlinie'!$E$26,IF(BW52=0," ",BW52))</f>
        <v>9.9999999999999995E-7</v>
      </c>
      <c r="CX52" s="435">
        <f>IF(F52=8,'JSM Jahresdauerlinie'!$E$26,IF(BY52=0," ",BY52))</f>
        <v>9.9999999999999995E-7</v>
      </c>
      <c r="CY52" s="435">
        <f>IF(H52=8,'JSM Jahresdauerlinie'!$E$26,IF(CA52=0," ",CA52))</f>
        <v>9.9999999999999995E-7</v>
      </c>
      <c r="CZ52" s="435">
        <f>IF(J52=8,'JSM Jahresdauerlinie'!$E$26,IF(CC52=0," ",CC52))</f>
        <v>9.9999999999999995E-7</v>
      </c>
      <c r="DA52" s="435">
        <f>IF(L52=8,'JSM Jahresdauerlinie'!$E$26,IF(CE52=0," ",CE52))</f>
        <v>9.9999999999999995E-7</v>
      </c>
      <c r="DB52" s="435">
        <f>IF(N52=8,'JSM Jahresdauerlinie'!$E$26,IF(CG52=0," ",CG52))</f>
        <v>9.9999999999999995E-7</v>
      </c>
      <c r="DC52" s="435">
        <f>IF(P52=8,'JSM Jahresdauerlinie'!$E$26,IF(CI52=0," ",CI52))</f>
        <v>9.9999999999999995E-7</v>
      </c>
      <c r="DD52" s="435">
        <f>IF(R52=8,'JSM Jahresdauerlinie'!$E$26,IF(CK52=0," ",CK52))</f>
        <v>9.9999999999999995E-7</v>
      </c>
      <c r="DE52" s="435">
        <f>IF(T52=8,'JSM Jahresdauerlinie'!$E$26,IF(CM52=0," ",CM52))</f>
        <v>9.9999999999999995E-7</v>
      </c>
      <c r="DF52" s="435">
        <f>IF(V52=8,'JSM Jahresdauerlinie'!$E$26,IF(CO52=0," ",CO52))</f>
        <v>9.9999999999999995E-7</v>
      </c>
      <c r="DG52" s="435">
        <f>IF(X52=8,'JSM Jahresdauerlinie'!$E$26,IF(CQ52=0," ",CQ52))</f>
        <v>9.9999999999999995E-7</v>
      </c>
      <c r="DH52" s="435">
        <f>IF(Z52=8,'JSM Jahresdauerlinie'!$E$26,IF(CS52=0," ",CS52))</f>
        <v>9.9999999999999995E-7</v>
      </c>
      <c r="DJ52" s="441">
        <f t="shared" si="50"/>
        <v>9.9999999999999995E-7</v>
      </c>
      <c r="DK52" s="441">
        <f t="shared" si="86"/>
        <v>9.9999999999999995E-7</v>
      </c>
      <c r="DL52" s="441">
        <f t="shared" si="87"/>
        <v>9.9999999999999995E-7</v>
      </c>
      <c r="DM52" s="441">
        <f t="shared" si="88"/>
        <v>9.9999999999999995E-7</v>
      </c>
      <c r="DN52" s="441">
        <f t="shared" si="89"/>
        <v>9.9999999999999995E-7</v>
      </c>
      <c r="DO52" s="441">
        <f t="shared" si="90"/>
        <v>9.9999999999999995E-7</v>
      </c>
      <c r="DP52" s="441">
        <f t="shared" si="91"/>
        <v>9.9999999999999995E-7</v>
      </c>
      <c r="DQ52" s="441">
        <f t="shared" si="92"/>
        <v>9.9999999999999995E-7</v>
      </c>
      <c r="DR52" s="441">
        <f t="shared" si="93"/>
        <v>9.9999999999999995E-7</v>
      </c>
      <c r="DS52" s="441">
        <f t="shared" si="94"/>
        <v>9.9999999999999995E-7</v>
      </c>
      <c r="DT52" s="441">
        <f t="shared" si="95"/>
        <v>9.9999999999999995E-7</v>
      </c>
      <c r="DU52" s="441">
        <f t="shared" si="96"/>
        <v>9.9999999999999995E-7</v>
      </c>
      <c r="DX52" s="435">
        <f t="shared" si="61"/>
        <v>8</v>
      </c>
      <c r="DY52" s="435">
        <f t="shared" si="24"/>
        <v>8</v>
      </c>
      <c r="DZ52" s="435">
        <f t="shared" si="25"/>
        <v>8</v>
      </c>
      <c r="EA52" s="435">
        <f t="shared" si="26"/>
        <v>8</v>
      </c>
      <c r="EB52" s="435">
        <f t="shared" si="27"/>
        <v>8</v>
      </c>
      <c r="EC52" s="435">
        <f t="shared" si="28"/>
        <v>8</v>
      </c>
      <c r="ED52" s="435">
        <f t="shared" si="62"/>
        <v>8</v>
      </c>
      <c r="EE52" s="435">
        <f t="shared" si="29"/>
        <v>8</v>
      </c>
      <c r="EF52" s="435">
        <f t="shared" si="30"/>
        <v>8</v>
      </c>
      <c r="EG52" s="435">
        <f t="shared" si="31"/>
        <v>8</v>
      </c>
      <c r="EH52" s="435">
        <f t="shared" si="32"/>
        <v>8</v>
      </c>
      <c r="EI52" s="435">
        <f t="shared" si="33"/>
        <v>8</v>
      </c>
      <c r="EK52" s="441" t="str">
        <f t="shared" si="63"/>
        <v xml:space="preserve"> </v>
      </c>
      <c r="EL52" s="441" t="str">
        <f t="shared" si="64"/>
        <v xml:space="preserve"> </v>
      </c>
      <c r="EM52" s="441" t="str">
        <f t="shared" si="63"/>
        <v xml:space="preserve"> </v>
      </c>
      <c r="EN52" s="441" t="str">
        <f t="shared" si="64"/>
        <v xml:space="preserve"> </v>
      </c>
      <c r="EO52" s="441" t="str">
        <f t="shared" si="63"/>
        <v xml:space="preserve"> </v>
      </c>
      <c r="EP52" s="441" t="str">
        <f t="shared" si="64"/>
        <v xml:space="preserve"> </v>
      </c>
      <c r="EQ52" s="441" t="str">
        <f t="shared" si="63"/>
        <v xml:space="preserve"> </v>
      </c>
      <c r="ER52" s="441" t="str">
        <f t="shared" si="64"/>
        <v xml:space="preserve"> </v>
      </c>
      <c r="ES52" s="441" t="str">
        <f t="shared" si="63"/>
        <v xml:space="preserve"> </v>
      </c>
      <c r="ET52" s="441" t="str">
        <f t="shared" si="64"/>
        <v xml:space="preserve"> </v>
      </c>
      <c r="EU52" s="441" t="str">
        <f t="shared" si="63"/>
        <v xml:space="preserve"> </v>
      </c>
      <c r="EV52" s="441" t="str">
        <f t="shared" si="64"/>
        <v xml:space="preserve"> </v>
      </c>
      <c r="EW52" s="441" t="str">
        <f t="shared" si="63"/>
        <v xml:space="preserve"> </v>
      </c>
      <c r="EX52" s="441" t="str">
        <f t="shared" si="64"/>
        <v xml:space="preserve"> </v>
      </c>
      <c r="EY52" s="441" t="str">
        <f t="shared" si="63"/>
        <v xml:space="preserve"> </v>
      </c>
      <c r="EZ52" s="441" t="str">
        <f t="shared" si="64"/>
        <v xml:space="preserve"> </v>
      </c>
      <c r="FA52" s="441" t="str">
        <f t="shared" si="97"/>
        <v xml:space="preserve"> </v>
      </c>
      <c r="FB52" s="441" t="str">
        <f t="shared" si="98"/>
        <v xml:space="preserve"> </v>
      </c>
      <c r="FC52" s="441" t="str">
        <f t="shared" si="97"/>
        <v xml:space="preserve"> </v>
      </c>
      <c r="FD52" s="441" t="str">
        <f t="shared" si="98"/>
        <v xml:space="preserve"> </v>
      </c>
      <c r="FE52" s="441" t="str">
        <f t="shared" si="97"/>
        <v xml:space="preserve"> </v>
      </c>
      <c r="FF52" s="441" t="str">
        <f t="shared" si="98"/>
        <v xml:space="preserve"> </v>
      </c>
      <c r="FG52" s="437" t="str">
        <f t="shared" si="97"/>
        <v xml:space="preserve"> </v>
      </c>
      <c r="FH52" s="441" t="str">
        <f t="shared" si="98"/>
        <v xml:space="preserve"> </v>
      </c>
    </row>
    <row r="53" spans="1:164" ht="14.25" x14ac:dyDescent="0.2">
      <c r="B53" s="210">
        <v>22</v>
      </c>
      <c r="D53" s="740"/>
      <c r="E53" s="740"/>
      <c r="F53" s="745"/>
      <c r="G53" s="740"/>
      <c r="H53" s="745"/>
      <c r="I53" s="740"/>
      <c r="J53" s="740"/>
      <c r="K53" s="740"/>
      <c r="L53" s="740"/>
      <c r="M53" s="740"/>
      <c r="N53" s="740"/>
      <c r="O53" s="740"/>
      <c r="P53" s="740"/>
      <c r="Q53" s="740"/>
      <c r="R53" s="740"/>
      <c r="S53" s="740"/>
      <c r="T53" s="740"/>
      <c r="U53" s="740"/>
      <c r="V53" s="740"/>
      <c r="W53" s="740"/>
      <c r="X53" s="741"/>
      <c r="Y53" s="740"/>
      <c r="Z53" s="740"/>
      <c r="AA53" s="740"/>
      <c r="AF53" s="413" t="str">
        <f t="shared" si="34"/>
        <v xml:space="preserve"> </v>
      </c>
      <c r="AG53" s="413" t="str">
        <f t="shared" si="78"/>
        <v xml:space="preserve"> </v>
      </c>
      <c r="AH53" s="413" t="str">
        <f t="shared" si="79"/>
        <v xml:space="preserve"> </v>
      </c>
      <c r="AI53" s="413" t="str">
        <f t="shared" si="80"/>
        <v xml:space="preserve"> </v>
      </c>
      <c r="AJ53" s="413" t="str">
        <f t="shared" si="81"/>
        <v xml:space="preserve"> </v>
      </c>
      <c r="AK53" s="413" t="str">
        <f t="shared" si="82"/>
        <v xml:space="preserve"> </v>
      </c>
      <c r="AL53" s="413" t="str">
        <f t="shared" si="83"/>
        <v xml:space="preserve"> </v>
      </c>
      <c r="AM53" s="413" t="str">
        <f t="shared" si="84"/>
        <v xml:space="preserve"> </v>
      </c>
      <c r="AN53" s="413" t="str">
        <f t="shared" si="7"/>
        <v xml:space="preserve"> </v>
      </c>
      <c r="AO53" s="413" t="str">
        <f t="shared" si="8"/>
        <v xml:space="preserve"> </v>
      </c>
      <c r="AP53" s="413" t="str">
        <f t="shared" si="9"/>
        <v xml:space="preserve"> </v>
      </c>
      <c r="AQ53" s="413" t="str">
        <f t="shared" si="10"/>
        <v xml:space="preserve"> </v>
      </c>
      <c r="AU53" s="438">
        <f t="shared" si="35"/>
        <v>0</v>
      </c>
      <c r="AV53" s="438" t="str">
        <f t="shared" si="36"/>
        <v/>
      </c>
      <c r="AW53" s="438">
        <f t="shared" si="77"/>
        <v>0</v>
      </c>
      <c r="AX53" s="438" t="str">
        <f t="shared" si="36"/>
        <v/>
      </c>
      <c r="AY53" s="438">
        <f t="shared" si="67"/>
        <v>0</v>
      </c>
      <c r="AZ53" s="438" t="str">
        <f t="shared" si="36"/>
        <v/>
      </c>
      <c r="BA53" s="438">
        <f t="shared" si="68"/>
        <v>0</v>
      </c>
      <c r="BB53" s="438" t="str">
        <f t="shared" si="36"/>
        <v/>
      </c>
      <c r="BC53" s="438">
        <f t="shared" si="69"/>
        <v>0</v>
      </c>
      <c r="BD53" s="438" t="str">
        <f t="shared" si="36"/>
        <v/>
      </c>
      <c r="BE53" s="438">
        <f t="shared" si="70"/>
        <v>0</v>
      </c>
      <c r="BF53" s="438" t="str">
        <f t="shared" si="36"/>
        <v/>
      </c>
      <c r="BG53" s="438">
        <f t="shared" si="71"/>
        <v>0</v>
      </c>
      <c r="BH53" s="438" t="str">
        <f t="shared" si="36"/>
        <v/>
      </c>
      <c r="BI53" s="438">
        <f t="shared" si="72"/>
        <v>0</v>
      </c>
      <c r="BJ53" s="438" t="str">
        <f t="shared" si="36"/>
        <v/>
      </c>
      <c r="BK53" s="438">
        <f t="shared" si="73"/>
        <v>0</v>
      </c>
      <c r="BL53" s="438" t="str">
        <f t="shared" si="85"/>
        <v/>
      </c>
      <c r="BM53" s="438">
        <f t="shared" si="74"/>
        <v>0</v>
      </c>
      <c r="BN53" s="438" t="str">
        <f t="shared" si="85"/>
        <v/>
      </c>
      <c r="BO53" s="438">
        <f t="shared" si="75"/>
        <v>0</v>
      </c>
      <c r="BP53" s="438" t="str">
        <f t="shared" si="85"/>
        <v/>
      </c>
      <c r="BQ53" s="438">
        <f t="shared" si="76"/>
        <v>0</v>
      </c>
      <c r="BR53" s="438" t="str">
        <f t="shared" si="85"/>
        <v/>
      </c>
      <c r="BV53" s="439">
        <f t="shared" si="38"/>
        <v>8</v>
      </c>
      <c r="BW53" s="439">
        <f>IF(BV53=8,'JSM Jahresdauerlinie'!$E$26,E53)</f>
        <v>9.9999999999999995E-7</v>
      </c>
      <c r="BX53" s="439">
        <f t="shared" si="39"/>
        <v>8</v>
      </c>
      <c r="BY53" s="439">
        <f>IF(BX53=8,'JSM Jahresdauerlinie'!$E$26,G53)</f>
        <v>9.9999999999999995E-7</v>
      </c>
      <c r="BZ53" s="439">
        <f t="shared" si="40"/>
        <v>8</v>
      </c>
      <c r="CA53" s="439">
        <f>IF(BZ53=8,'JSM Jahresdauerlinie'!$E$26,I53)</f>
        <v>9.9999999999999995E-7</v>
      </c>
      <c r="CB53" s="439">
        <f t="shared" si="41"/>
        <v>8</v>
      </c>
      <c r="CC53" s="439">
        <f>IF(CB53=8,'JSM Jahresdauerlinie'!$E$26,K53)</f>
        <v>9.9999999999999995E-7</v>
      </c>
      <c r="CD53" s="439">
        <f t="shared" si="42"/>
        <v>8</v>
      </c>
      <c r="CE53" s="439">
        <f>IF(CD53=8,'JSM Jahresdauerlinie'!$E$26,M53)</f>
        <v>9.9999999999999995E-7</v>
      </c>
      <c r="CF53" s="439">
        <f t="shared" si="43"/>
        <v>8</v>
      </c>
      <c r="CG53" s="439">
        <f>IF(CF53=8,'JSM Jahresdauerlinie'!$E$26,O53)</f>
        <v>9.9999999999999995E-7</v>
      </c>
      <c r="CH53" s="439">
        <f t="shared" si="44"/>
        <v>8</v>
      </c>
      <c r="CI53" s="439">
        <f>IF(CH53=8,'JSM Jahresdauerlinie'!$E$26,Q53)</f>
        <v>9.9999999999999995E-7</v>
      </c>
      <c r="CJ53" s="439">
        <f t="shared" si="45"/>
        <v>8</v>
      </c>
      <c r="CK53" s="439">
        <f>IF(CJ53=8,'JSM Jahresdauerlinie'!$E$26,S53)</f>
        <v>9.9999999999999995E-7</v>
      </c>
      <c r="CL53" s="439">
        <f t="shared" si="46"/>
        <v>8</v>
      </c>
      <c r="CM53" s="439">
        <f>IF(CL53=8,'JSM Jahresdauerlinie'!$E$26,U53)</f>
        <v>9.9999999999999995E-7</v>
      </c>
      <c r="CN53" s="439">
        <f t="shared" si="47"/>
        <v>8</v>
      </c>
      <c r="CO53" s="439">
        <f>IF(CN53=8,'JSM Jahresdauerlinie'!$E$26,W53)</f>
        <v>9.9999999999999995E-7</v>
      </c>
      <c r="CP53" s="439">
        <f t="shared" si="48"/>
        <v>8</v>
      </c>
      <c r="CQ53" s="439">
        <f>IF(CP53=8,'JSM Jahresdauerlinie'!$E$26,Y53)</f>
        <v>9.9999999999999995E-7</v>
      </c>
      <c r="CR53" s="439">
        <f t="shared" si="49"/>
        <v>8</v>
      </c>
      <c r="CS53" s="439">
        <f>IF(CR53=8,'JSM Jahresdauerlinie'!$E$26,AA53)</f>
        <v>9.9999999999999995E-7</v>
      </c>
      <c r="CT53" s="440"/>
      <c r="CW53" s="435">
        <f>IF(D53=8,'JSM Jahresdauerlinie'!$E$26,IF(BW53=0," ",BW53))</f>
        <v>9.9999999999999995E-7</v>
      </c>
      <c r="CX53" s="435">
        <f>IF(F53=8,'JSM Jahresdauerlinie'!$E$26,IF(BY53=0," ",BY53))</f>
        <v>9.9999999999999995E-7</v>
      </c>
      <c r="CY53" s="435">
        <f>IF(H53=8,'JSM Jahresdauerlinie'!$E$26,IF(CA53=0," ",CA53))</f>
        <v>9.9999999999999995E-7</v>
      </c>
      <c r="CZ53" s="435">
        <f>IF(J53=8,'JSM Jahresdauerlinie'!$E$26,IF(CC53=0," ",CC53))</f>
        <v>9.9999999999999995E-7</v>
      </c>
      <c r="DA53" s="435">
        <f>IF(L53=8,'JSM Jahresdauerlinie'!$E$26,IF(CE53=0," ",CE53))</f>
        <v>9.9999999999999995E-7</v>
      </c>
      <c r="DB53" s="435">
        <f>IF(N53=8,'JSM Jahresdauerlinie'!$E$26,IF(CG53=0," ",CG53))</f>
        <v>9.9999999999999995E-7</v>
      </c>
      <c r="DC53" s="435">
        <f>IF(P53=8,'JSM Jahresdauerlinie'!$E$26,IF(CI53=0," ",CI53))</f>
        <v>9.9999999999999995E-7</v>
      </c>
      <c r="DD53" s="435">
        <f>IF(R53=8,'JSM Jahresdauerlinie'!$E$26,IF(CK53=0," ",CK53))</f>
        <v>9.9999999999999995E-7</v>
      </c>
      <c r="DE53" s="435">
        <f>IF(T53=8,'JSM Jahresdauerlinie'!$E$26,IF(CM53=0," ",CM53))</f>
        <v>9.9999999999999995E-7</v>
      </c>
      <c r="DF53" s="435">
        <f>IF(V53=8,'JSM Jahresdauerlinie'!$E$26,IF(CO53=0," ",CO53))</f>
        <v>9.9999999999999995E-7</v>
      </c>
      <c r="DG53" s="435">
        <f>IF(X53=8,'JSM Jahresdauerlinie'!$E$26,IF(CQ53=0," ",CQ53))</f>
        <v>9.9999999999999995E-7</v>
      </c>
      <c r="DH53" s="435">
        <f>IF(Z53=8,'JSM Jahresdauerlinie'!$E$26,IF(CS53=0," ",CS53))</f>
        <v>9.9999999999999995E-7</v>
      </c>
      <c r="DJ53" s="441">
        <f t="shared" si="50"/>
        <v>9.9999999999999995E-7</v>
      </c>
      <c r="DK53" s="441">
        <f t="shared" si="86"/>
        <v>9.9999999999999995E-7</v>
      </c>
      <c r="DL53" s="441">
        <f t="shared" si="87"/>
        <v>9.9999999999999995E-7</v>
      </c>
      <c r="DM53" s="441">
        <f t="shared" si="88"/>
        <v>9.9999999999999995E-7</v>
      </c>
      <c r="DN53" s="441">
        <f t="shared" si="89"/>
        <v>9.9999999999999995E-7</v>
      </c>
      <c r="DO53" s="441">
        <f t="shared" si="90"/>
        <v>9.9999999999999995E-7</v>
      </c>
      <c r="DP53" s="441">
        <f t="shared" si="91"/>
        <v>9.9999999999999995E-7</v>
      </c>
      <c r="DQ53" s="441">
        <f t="shared" si="92"/>
        <v>9.9999999999999995E-7</v>
      </c>
      <c r="DR53" s="441">
        <f t="shared" si="93"/>
        <v>9.9999999999999995E-7</v>
      </c>
      <c r="DS53" s="441">
        <f t="shared" si="94"/>
        <v>9.9999999999999995E-7</v>
      </c>
      <c r="DT53" s="441">
        <f t="shared" si="95"/>
        <v>9.9999999999999995E-7</v>
      </c>
      <c r="DU53" s="441">
        <f t="shared" si="96"/>
        <v>9.9999999999999995E-7</v>
      </c>
      <c r="DX53" s="435">
        <f t="shared" si="61"/>
        <v>8</v>
      </c>
      <c r="DY53" s="435">
        <f t="shared" si="24"/>
        <v>8</v>
      </c>
      <c r="DZ53" s="435">
        <f t="shared" si="25"/>
        <v>8</v>
      </c>
      <c r="EA53" s="435">
        <f t="shared" si="26"/>
        <v>8</v>
      </c>
      <c r="EB53" s="435">
        <f t="shared" si="27"/>
        <v>8</v>
      </c>
      <c r="EC53" s="435">
        <f t="shared" si="28"/>
        <v>8</v>
      </c>
      <c r="ED53" s="435">
        <f t="shared" si="62"/>
        <v>8</v>
      </c>
      <c r="EE53" s="435">
        <f t="shared" si="29"/>
        <v>8</v>
      </c>
      <c r="EF53" s="435">
        <f t="shared" si="30"/>
        <v>8</v>
      </c>
      <c r="EG53" s="435">
        <f t="shared" si="31"/>
        <v>8</v>
      </c>
      <c r="EH53" s="435">
        <f t="shared" si="32"/>
        <v>8</v>
      </c>
      <c r="EI53" s="435">
        <f t="shared" si="33"/>
        <v>8</v>
      </c>
      <c r="EK53" s="441" t="str">
        <f t="shared" si="63"/>
        <v xml:space="preserve"> </v>
      </c>
      <c r="EL53" s="441" t="str">
        <f t="shared" si="64"/>
        <v xml:space="preserve"> </v>
      </c>
      <c r="EM53" s="441" t="str">
        <f t="shared" si="63"/>
        <v xml:space="preserve"> </v>
      </c>
      <c r="EN53" s="441" t="str">
        <f t="shared" si="64"/>
        <v xml:space="preserve"> </v>
      </c>
      <c r="EO53" s="441" t="str">
        <f t="shared" si="63"/>
        <v xml:space="preserve"> </v>
      </c>
      <c r="EP53" s="441" t="str">
        <f t="shared" si="64"/>
        <v xml:space="preserve"> </v>
      </c>
      <c r="EQ53" s="441" t="str">
        <f t="shared" si="63"/>
        <v xml:space="preserve"> </v>
      </c>
      <c r="ER53" s="441" t="str">
        <f t="shared" si="64"/>
        <v xml:space="preserve"> </v>
      </c>
      <c r="ES53" s="441" t="str">
        <f t="shared" si="63"/>
        <v xml:space="preserve"> </v>
      </c>
      <c r="ET53" s="441" t="str">
        <f t="shared" si="64"/>
        <v xml:space="preserve"> </v>
      </c>
      <c r="EU53" s="441" t="str">
        <f t="shared" si="63"/>
        <v xml:space="preserve"> </v>
      </c>
      <c r="EV53" s="441" t="str">
        <f t="shared" si="64"/>
        <v xml:space="preserve"> </v>
      </c>
      <c r="EW53" s="441" t="str">
        <f t="shared" si="63"/>
        <v xml:space="preserve"> </v>
      </c>
      <c r="EX53" s="441" t="str">
        <f t="shared" si="64"/>
        <v xml:space="preserve"> </v>
      </c>
      <c r="EY53" s="441" t="str">
        <f t="shared" si="63"/>
        <v xml:space="preserve"> </v>
      </c>
      <c r="EZ53" s="441" t="str">
        <f t="shared" si="64"/>
        <v xml:space="preserve"> </v>
      </c>
      <c r="FA53" s="441" t="str">
        <f t="shared" si="97"/>
        <v xml:space="preserve"> </v>
      </c>
      <c r="FB53" s="441" t="str">
        <f t="shared" si="98"/>
        <v xml:space="preserve"> </v>
      </c>
      <c r="FC53" s="441" t="str">
        <f t="shared" si="97"/>
        <v xml:space="preserve"> </v>
      </c>
      <c r="FD53" s="441" t="str">
        <f t="shared" si="98"/>
        <v xml:space="preserve"> </v>
      </c>
      <c r="FE53" s="441" t="str">
        <f t="shared" si="97"/>
        <v xml:space="preserve"> </v>
      </c>
      <c r="FF53" s="441" t="str">
        <f t="shared" si="98"/>
        <v xml:space="preserve"> </v>
      </c>
      <c r="FG53" s="437" t="str">
        <f t="shared" si="97"/>
        <v xml:space="preserve"> </v>
      </c>
      <c r="FH53" s="441" t="str">
        <f t="shared" si="98"/>
        <v xml:space="preserve"> </v>
      </c>
    </row>
    <row r="54" spans="1:164" ht="14.25" x14ac:dyDescent="0.2">
      <c r="B54" s="210">
        <v>23</v>
      </c>
      <c r="D54" s="740"/>
      <c r="E54" s="740"/>
      <c r="F54" s="745"/>
      <c r="G54" s="740"/>
      <c r="H54" s="740"/>
      <c r="I54" s="740"/>
      <c r="J54" s="740"/>
      <c r="K54" s="740"/>
      <c r="L54" s="740"/>
      <c r="M54" s="740"/>
      <c r="N54" s="740"/>
      <c r="O54" s="740"/>
      <c r="P54" s="740"/>
      <c r="Q54" s="740"/>
      <c r="R54" s="740"/>
      <c r="S54" s="740"/>
      <c r="T54" s="740"/>
      <c r="U54" s="740"/>
      <c r="V54" s="740"/>
      <c r="W54" s="740"/>
      <c r="X54" s="741"/>
      <c r="Y54" s="740"/>
      <c r="Z54" s="740"/>
      <c r="AA54" s="740"/>
      <c r="AF54" s="413" t="str">
        <f t="shared" si="34"/>
        <v xml:space="preserve"> </v>
      </c>
      <c r="AG54" s="413" t="str">
        <f t="shared" si="78"/>
        <v xml:space="preserve"> </v>
      </c>
      <c r="AH54" s="413" t="str">
        <f t="shared" si="79"/>
        <v xml:space="preserve"> </v>
      </c>
      <c r="AI54" s="413" t="str">
        <f t="shared" si="80"/>
        <v xml:space="preserve"> </v>
      </c>
      <c r="AJ54" s="413" t="str">
        <f t="shared" si="81"/>
        <v xml:space="preserve"> </v>
      </c>
      <c r="AK54" s="413" t="str">
        <f t="shared" si="82"/>
        <v xml:space="preserve"> </v>
      </c>
      <c r="AL54" s="413" t="str">
        <f t="shared" si="83"/>
        <v xml:space="preserve"> </v>
      </c>
      <c r="AM54" s="413" t="str">
        <f t="shared" si="84"/>
        <v xml:space="preserve"> </v>
      </c>
      <c r="AN54" s="413" t="str">
        <f t="shared" si="7"/>
        <v xml:space="preserve"> </v>
      </c>
      <c r="AO54" s="413" t="str">
        <f t="shared" si="8"/>
        <v xml:space="preserve"> </v>
      </c>
      <c r="AP54" s="413" t="str">
        <f t="shared" si="9"/>
        <v xml:space="preserve"> </v>
      </c>
      <c r="AQ54" s="413" t="str">
        <f t="shared" si="10"/>
        <v xml:space="preserve"> </v>
      </c>
      <c r="AU54" s="438">
        <f t="shared" si="35"/>
        <v>0</v>
      </c>
      <c r="AV54" s="438" t="str">
        <f t="shared" si="36"/>
        <v/>
      </c>
      <c r="AW54" s="438">
        <f t="shared" si="77"/>
        <v>0</v>
      </c>
      <c r="AX54" s="438" t="str">
        <f t="shared" si="36"/>
        <v/>
      </c>
      <c r="AY54" s="438">
        <f t="shared" si="67"/>
        <v>0</v>
      </c>
      <c r="AZ54" s="438" t="str">
        <f t="shared" si="36"/>
        <v/>
      </c>
      <c r="BA54" s="438">
        <f t="shared" si="68"/>
        <v>0</v>
      </c>
      <c r="BB54" s="438" t="str">
        <f t="shared" si="36"/>
        <v/>
      </c>
      <c r="BC54" s="438">
        <f t="shared" si="69"/>
        <v>0</v>
      </c>
      <c r="BD54" s="438" t="str">
        <f t="shared" si="36"/>
        <v/>
      </c>
      <c r="BE54" s="438">
        <f t="shared" si="70"/>
        <v>0</v>
      </c>
      <c r="BF54" s="438" t="str">
        <f t="shared" si="36"/>
        <v/>
      </c>
      <c r="BG54" s="438">
        <f t="shared" si="71"/>
        <v>0</v>
      </c>
      <c r="BH54" s="438" t="str">
        <f t="shared" si="36"/>
        <v/>
      </c>
      <c r="BI54" s="438">
        <f t="shared" si="72"/>
        <v>0</v>
      </c>
      <c r="BJ54" s="438" t="str">
        <f t="shared" si="36"/>
        <v/>
      </c>
      <c r="BK54" s="438">
        <f t="shared" si="73"/>
        <v>0</v>
      </c>
      <c r="BL54" s="438" t="str">
        <f t="shared" si="85"/>
        <v/>
      </c>
      <c r="BM54" s="438">
        <f t="shared" si="74"/>
        <v>0</v>
      </c>
      <c r="BN54" s="438" t="str">
        <f t="shared" si="85"/>
        <v/>
      </c>
      <c r="BO54" s="438">
        <f t="shared" si="75"/>
        <v>0</v>
      </c>
      <c r="BP54" s="438" t="str">
        <f t="shared" si="85"/>
        <v/>
      </c>
      <c r="BQ54" s="438">
        <f t="shared" si="76"/>
        <v>0</v>
      </c>
      <c r="BR54" s="438" t="str">
        <f t="shared" si="85"/>
        <v/>
      </c>
      <c r="BV54" s="439">
        <f t="shared" si="38"/>
        <v>8</v>
      </c>
      <c r="BW54" s="439">
        <f>IF(BV54=8,'JSM Jahresdauerlinie'!$E$26,E54)</f>
        <v>9.9999999999999995E-7</v>
      </c>
      <c r="BX54" s="439">
        <f t="shared" si="39"/>
        <v>8</v>
      </c>
      <c r="BY54" s="439">
        <f>IF(BX54=8,'JSM Jahresdauerlinie'!$E$26,G54)</f>
        <v>9.9999999999999995E-7</v>
      </c>
      <c r="BZ54" s="439">
        <f t="shared" si="40"/>
        <v>8</v>
      </c>
      <c r="CA54" s="439">
        <f>IF(BZ54=8,'JSM Jahresdauerlinie'!$E$26,I54)</f>
        <v>9.9999999999999995E-7</v>
      </c>
      <c r="CB54" s="439">
        <f t="shared" si="41"/>
        <v>8</v>
      </c>
      <c r="CC54" s="439">
        <f>IF(CB54=8,'JSM Jahresdauerlinie'!$E$26,K54)</f>
        <v>9.9999999999999995E-7</v>
      </c>
      <c r="CD54" s="439">
        <f t="shared" si="42"/>
        <v>8</v>
      </c>
      <c r="CE54" s="439">
        <f>IF(CD54=8,'JSM Jahresdauerlinie'!$E$26,M54)</f>
        <v>9.9999999999999995E-7</v>
      </c>
      <c r="CF54" s="439">
        <f t="shared" si="43"/>
        <v>8</v>
      </c>
      <c r="CG54" s="439">
        <f>IF(CF54=8,'JSM Jahresdauerlinie'!$E$26,O54)</f>
        <v>9.9999999999999995E-7</v>
      </c>
      <c r="CH54" s="439">
        <f t="shared" si="44"/>
        <v>8</v>
      </c>
      <c r="CI54" s="439">
        <f>IF(CH54=8,'JSM Jahresdauerlinie'!$E$26,Q54)</f>
        <v>9.9999999999999995E-7</v>
      </c>
      <c r="CJ54" s="439">
        <f t="shared" si="45"/>
        <v>8</v>
      </c>
      <c r="CK54" s="439">
        <f>IF(CJ54=8,'JSM Jahresdauerlinie'!$E$26,S54)</f>
        <v>9.9999999999999995E-7</v>
      </c>
      <c r="CL54" s="439">
        <f t="shared" si="46"/>
        <v>8</v>
      </c>
      <c r="CM54" s="439">
        <f>IF(CL54=8,'JSM Jahresdauerlinie'!$E$26,U54)</f>
        <v>9.9999999999999995E-7</v>
      </c>
      <c r="CN54" s="439">
        <f t="shared" si="47"/>
        <v>8</v>
      </c>
      <c r="CO54" s="439">
        <f>IF(CN54=8,'JSM Jahresdauerlinie'!$E$26,W54)</f>
        <v>9.9999999999999995E-7</v>
      </c>
      <c r="CP54" s="439">
        <f t="shared" si="48"/>
        <v>8</v>
      </c>
      <c r="CQ54" s="439">
        <f>IF(CP54=8,'JSM Jahresdauerlinie'!$E$26,Y54)</f>
        <v>9.9999999999999995E-7</v>
      </c>
      <c r="CR54" s="439">
        <f t="shared" si="49"/>
        <v>8</v>
      </c>
      <c r="CS54" s="439">
        <f>IF(CR54=8,'JSM Jahresdauerlinie'!$E$26,AA54)</f>
        <v>9.9999999999999995E-7</v>
      </c>
      <c r="CT54" s="440"/>
      <c r="CW54" s="435">
        <f>IF(D54=8,'JSM Jahresdauerlinie'!$E$26,IF(BW54=0," ",BW54))</f>
        <v>9.9999999999999995E-7</v>
      </c>
      <c r="CX54" s="435">
        <f>IF(F54=8,'JSM Jahresdauerlinie'!$E$26,IF(BY54=0," ",BY54))</f>
        <v>9.9999999999999995E-7</v>
      </c>
      <c r="CY54" s="435">
        <f>IF(H54=8,'JSM Jahresdauerlinie'!$E$26,IF(CA54=0," ",CA54))</f>
        <v>9.9999999999999995E-7</v>
      </c>
      <c r="CZ54" s="435">
        <f>IF(J54=8,'JSM Jahresdauerlinie'!$E$26,IF(CC54=0," ",CC54))</f>
        <v>9.9999999999999995E-7</v>
      </c>
      <c r="DA54" s="435">
        <f>IF(L54=8,'JSM Jahresdauerlinie'!$E$26,IF(CE54=0," ",CE54))</f>
        <v>9.9999999999999995E-7</v>
      </c>
      <c r="DB54" s="435">
        <f>IF(N54=8,'JSM Jahresdauerlinie'!$E$26,IF(CG54=0," ",CG54))</f>
        <v>9.9999999999999995E-7</v>
      </c>
      <c r="DC54" s="435">
        <f>IF(P54=8,'JSM Jahresdauerlinie'!$E$26,IF(CI54=0," ",CI54))</f>
        <v>9.9999999999999995E-7</v>
      </c>
      <c r="DD54" s="435">
        <f>IF(R54=8,'JSM Jahresdauerlinie'!$E$26,IF(CK54=0," ",CK54))</f>
        <v>9.9999999999999995E-7</v>
      </c>
      <c r="DE54" s="435">
        <f>IF(T54=8,'JSM Jahresdauerlinie'!$E$26,IF(CM54=0," ",CM54))</f>
        <v>9.9999999999999995E-7</v>
      </c>
      <c r="DF54" s="435">
        <f>IF(V54=8,'JSM Jahresdauerlinie'!$E$26,IF(CO54=0," ",CO54))</f>
        <v>9.9999999999999995E-7</v>
      </c>
      <c r="DG54" s="435">
        <f>IF(X54=8,'JSM Jahresdauerlinie'!$E$26,IF(CQ54=0," ",CQ54))</f>
        <v>9.9999999999999995E-7</v>
      </c>
      <c r="DH54" s="435">
        <f>IF(Z54=8,'JSM Jahresdauerlinie'!$E$26,IF(CS54=0," ",CS54))</f>
        <v>9.9999999999999995E-7</v>
      </c>
      <c r="DJ54" s="441">
        <f t="shared" si="50"/>
        <v>9.9999999999999995E-7</v>
      </c>
      <c r="DK54" s="441">
        <f t="shared" si="86"/>
        <v>9.9999999999999995E-7</v>
      </c>
      <c r="DL54" s="441">
        <f t="shared" si="87"/>
        <v>9.9999999999999995E-7</v>
      </c>
      <c r="DM54" s="441">
        <f t="shared" si="88"/>
        <v>9.9999999999999995E-7</v>
      </c>
      <c r="DN54" s="441">
        <f t="shared" si="89"/>
        <v>9.9999999999999995E-7</v>
      </c>
      <c r="DO54" s="441">
        <f t="shared" si="90"/>
        <v>9.9999999999999995E-7</v>
      </c>
      <c r="DP54" s="441">
        <f t="shared" si="91"/>
        <v>9.9999999999999995E-7</v>
      </c>
      <c r="DQ54" s="441">
        <f t="shared" si="92"/>
        <v>9.9999999999999995E-7</v>
      </c>
      <c r="DR54" s="441">
        <f t="shared" si="93"/>
        <v>9.9999999999999995E-7</v>
      </c>
      <c r="DS54" s="441">
        <f t="shared" si="94"/>
        <v>9.9999999999999995E-7</v>
      </c>
      <c r="DT54" s="441">
        <f t="shared" si="95"/>
        <v>9.9999999999999995E-7</v>
      </c>
      <c r="DU54" s="441">
        <f t="shared" si="96"/>
        <v>9.9999999999999995E-7</v>
      </c>
      <c r="DX54" s="435">
        <f t="shared" si="61"/>
        <v>8</v>
      </c>
      <c r="DY54" s="435">
        <f t="shared" si="24"/>
        <v>8</v>
      </c>
      <c r="DZ54" s="435">
        <f t="shared" si="25"/>
        <v>8</v>
      </c>
      <c r="EA54" s="435">
        <f t="shared" si="26"/>
        <v>8</v>
      </c>
      <c r="EB54" s="435">
        <f t="shared" si="27"/>
        <v>8</v>
      </c>
      <c r="EC54" s="435">
        <f t="shared" si="28"/>
        <v>8</v>
      </c>
      <c r="ED54" s="435">
        <f t="shared" si="62"/>
        <v>8</v>
      </c>
      <c r="EE54" s="435">
        <f t="shared" si="29"/>
        <v>8</v>
      </c>
      <c r="EF54" s="435">
        <f t="shared" si="30"/>
        <v>8</v>
      </c>
      <c r="EG54" s="435">
        <f t="shared" si="31"/>
        <v>8</v>
      </c>
      <c r="EH54" s="435">
        <f t="shared" si="32"/>
        <v>8</v>
      </c>
      <c r="EI54" s="435">
        <f t="shared" si="33"/>
        <v>8</v>
      </c>
      <c r="EK54" s="441" t="str">
        <f t="shared" si="63"/>
        <v xml:space="preserve"> </v>
      </c>
      <c r="EL54" s="441" t="str">
        <f t="shared" si="64"/>
        <v xml:space="preserve"> </v>
      </c>
      <c r="EM54" s="441" t="str">
        <f t="shared" si="63"/>
        <v xml:space="preserve"> </v>
      </c>
      <c r="EN54" s="441" t="str">
        <f t="shared" si="64"/>
        <v xml:space="preserve"> </v>
      </c>
      <c r="EO54" s="441" t="str">
        <f t="shared" si="63"/>
        <v xml:space="preserve"> </v>
      </c>
      <c r="EP54" s="441" t="str">
        <f t="shared" si="64"/>
        <v xml:space="preserve"> </v>
      </c>
      <c r="EQ54" s="441" t="str">
        <f t="shared" si="63"/>
        <v xml:space="preserve"> </v>
      </c>
      <c r="ER54" s="441" t="str">
        <f t="shared" si="64"/>
        <v xml:space="preserve"> </v>
      </c>
      <c r="ES54" s="441" t="str">
        <f t="shared" si="63"/>
        <v xml:space="preserve"> </v>
      </c>
      <c r="ET54" s="441" t="str">
        <f t="shared" si="64"/>
        <v xml:space="preserve"> </v>
      </c>
      <c r="EU54" s="441" t="str">
        <f t="shared" si="63"/>
        <v xml:space="preserve"> </v>
      </c>
      <c r="EV54" s="441" t="str">
        <f t="shared" si="64"/>
        <v xml:space="preserve"> </v>
      </c>
      <c r="EW54" s="441" t="str">
        <f t="shared" si="63"/>
        <v xml:space="preserve"> </v>
      </c>
      <c r="EX54" s="441" t="str">
        <f t="shared" si="64"/>
        <v xml:space="preserve"> </v>
      </c>
      <c r="EY54" s="441" t="str">
        <f t="shared" si="63"/>
        <v xml:space="preserve"> </v>
      </c>
      <c r="EZ54" s="441" t="str">
        <f t="shared" si="64"/>
        <v xml:space="preserve"> </v>
      </c>
      <c r="FA54" s="441" t="str">
        <f t="shared" si="97"/>
        <v xml:space="preserve"> </v>
      </c>
      <c r="FB54" s="441" t="str">
        <f t="shared" si="98"/>
        <v xml:space="preserve"> </v>
      </c>
      <c r="FC54" s="441" t="str">
        <f t="shared" si="97"/>
        <v xml:space="preserve"> </v>
      </c>
      <c r="FD54" s="441" t="str">
        <f t="shared" si="98"/>
        <v xml:space="preserve"> </v>
      </c>
      <c r="FE54" s="441" t="str">
        <f t="shared" si="97"/>
        <v xml:space="preserve"> </v>
      </c>
      <c r="FF54" s="441" t="str">
        <f t="shared" si="98"/>
        <v xml:space="preserve"> </v>
      </c>
      <c r="FG54" s="437" t="str">
        <f t="shared" si="97"/>
        <v xml:space="preserve"> </v>
      </c>
      <c r="FH54" s="441" t="str">
        <f t="shared" si="98"/>
        <v xml:space="preserve"> </v>
      </c>
    </row>
    <row r="55" spans="1:164" ht="14.25" x14ac:dyDescent="0.2">
      <c r="B55" s="210">
        <v>24</v>
      </c>
      <c r="D55" s="745"/>
      <c r="E55" s="740"/>
      <c r="F55" s="740"/>
      <c r="G55" s="740"/>
      <c r="H55" s="740"/>
      <c r="I55" s="740"/>
      <c r="J55" s="740"/>
      <c r="K55" s="740"/>
      <c r="L55" s="740"/>
      <c r="M55" s="740"/>
      <c r="N55" s="740"/>
      <c r="O55" s="740"/>
      <c r="P55" s="740"/>
      <c r="Q55" s="740"/>
      <c r="R55" s="740"/>
      <c r="S55" s="740"/>
      <c r="T55" s="740"/>
      <c r="U55" s="740"/>
      <c r="V55" s="740"/>
      <c r="W55" s="740"/>
      <c r="X55" s="747"/>
      <c r="Y55" s="740"/>
      <c r="Z55" s="740"/>
      <c r="AA55" s="740"/>
      <c r="AF55" s="413" t="str">
        <f t="shared" si="34"/>
        <v xml:space="preserve"> </v>
      </c>
      <c r="AG55" s="413" t="str">
        <f t="shared" si="78"/>
        <v xml:space="preserve"> </v>
      </c>
      <c r="AH55" s="413" t="str">
        <f t="shared" si="79"/>
        <v xml:space="preserve"> </v>
      </c>
      <c r="AI55" s="413" t="str">
        <f t="shared" si="80"/>
        <v xml:space="preserve"> </v>
      </c>
      <c r="AJ55" s="413" t="str">
        <f t="shared" si="81"/>
        <v xml:space="preserve"> </v>
      </c>
      <c r="AK55" s="413" t="str">
        <f t="shared" si="82"/>
        <v xml:space="preserve"> </v>
      </c>
      <c r="AL55" s="413" t="str">
        <f t="shared" si="83"/>
        <v xml:space="preserve"> </v>
      </c>
      <c r="AM55" s="413" t="str">
        <f t="shared" si="84"/>
        <v xml:space="preserve"> </v>
      </c>
      <c r="AN55" s="413" t="str">
        <f t="shared" si="7"/>
        <v xml:space="preserve"> </v>
      </c>
      <c r="AO55" s="413" t="str">
        <f t="shared" si="8"/>
        <v xml:space="preserve"> </v>
      </c>
      <c r="AP55" s="413" t="str">
        <f t="shared" si="9"/>
        <v xml:space="preserve"> </v>
      </c>
      <c r="AQ55" s="413" t="str">
        <f t="shared" si="10"/>
        <v xml:space="preserve"> </v>
      </c>
      <c r="AU55" s="438">
        <f t="shared" si="35"/>
        <v>0</v>
      </c>
      <c r="AV55" s="438" t="str">
        <f t="shared" si="36"/>
        <v/>
      </c>
      <c r="AW55" s="438">
        <f t="shared" si="77"/>
        <v>0</v>
      </c>
      <c r="AX55" s="438" t="str">
        <f t="shared" si="36"/>
        <v/>
      </c>
      <c r="AY55" s="438">
        <f t="shared" si="67"/>
        <v>0</v>
      </c>
      <c r="AZ55" s="438" t="str">
        <f t="shared" si="36"/>
        <v/>
      </c>
      <c r="BA55" s="438">
        <f t="shared" si="68"/>
        <v>0</v>
      </c>
      <c r="BB55" s="438" t="str">
        <f t="shared" si="36"/>
        <v/>
      </c>
      <c r="BC55" s="438">
        <f t="shared" si="69"/>
        <v>0</v>
      </c>
      <c r="BD55" s="438" t="str">
        <f t="shared" si="36"/>
        <v/>
      </c>
      <c r="BE55" s="438">
        <f t="shared" si="70"/>
        <v>0</v>
      </c>
      <c r="BF55" s="438" t="str">
        <f t="shared" si="36"/>
        <v/>
      </c>
      <c r="BG55" s="438">
        <f t="shared" si="71"/>
        <v>0</v>
      </c>
      <c r="BH55" s="438" t="str">
        <f t="shared" si="36"/>
        <v/>
      </c>
      <c r="BI55" s="438">
        <f t="shared" si="72"/>
        <v>0</v>
      </c>
      <c r="BJ55" s="438" t="str">
        <f t="shared" si="36"/>
        <v/>
      </c>
      <c r="BK55" s="438">
        <f t="shared" si="73"/>
        <v>0</v>
      </c>
      <c r="BL55" s="438" t="str">
        <f t="shared" si="85"/>
        <v/>
      </c>
      <c r="BM55" s="438">
        <f t="shared" si="74"/>
        <v>0</v>
      </c>
      <c r="BN55" s="438" t="str">
        <f t="shared" si="85"/>
        <v/>
      </c>
      <c r="BO55" s="438">
        <f t="shared" si="75"/>
        <v>0</v>
      </c>
      <c r="BP55" s="438" t="str">
        <f t="shared" si="85"/>
        <v/>
      </c>
      <c r="BQ55" s="438">
        <f t="shared" si="76"/>
        <v>0</v>
      </c>
      <c r="BR55" s="438" t="str">
        <f t="shared" si="85"/>
        <v/>
      </c>
      <c r="BV55" s="439">
        <f t="shared" si="38"/>
        <v>8</v>
      </c>
      <c r="BW55" s="439">
        <f>IF(BV55=8,'JSM Jahresdauerlinie'!$E$26,E55)</f>
        <v>9.9999999999999995E-7</v>
      </c>
      <c r="BX55" s="439">
        <f t="shared" si="39"/>
        <v>8</v>
      </c>
      <c r="BY55" s="439">
        <f>IF(BX55=8,'JSM Jahresdauerlinie'!$E$26,G55)</f>
        <v>9.9999999999999995E-7</v>
      </c>
      <c r="BZ55" s="439">
        <f t="shared" si="40"/>
        <v>8</v>
      </c>
      <c r="CA55" s="439">
        <f>IF(BZ55=8,'JSM Jahresdauerlinie'!$E$26,I55)</f>
        <v>9.9999999999999995E-7</v>
      </c>
      <c r="CB55" s="439">
        <f t="shared" si="41"/>
        <v>8</v>
      </c>
      <c r="CC55" s="439">
        <f>IF(CB55=8,'JSM Jahresdauerlinie'!$E$26,K55)</f>
        <v>9.9999999999999995E-7</v>
      </c>
      <c r="CD55" s="439">
        <f t="shared" si="42"/>
        <v>8</v>
      </c>
      <c r="CE55" s="439">
        <f>IF(CD55=8,'JSM Jahresdauerlinie'!$E$26,M55)</f>
        <v>9.9999999999999995E-7</v>
      </c>
      <c r="CF55" s="439">
        <f t="shared" si="43"/>
        <v>8</v>
      </c>
      <c r="CG55" s="439">
        <f>IF(CF55=8,'JSM Jahresdauerlinie'!$E$26,O55)</f>
        <v>9.9999999999999995E-7</v>
      </c>
      <c r="CH55" s="439">
        <f t="shared" si="44"/>
        <v>8</v>
      </c>
      <c r="CI55" s="439">
        <f>IF(CH55=8,'JSM Jahresdauerlinie'!$E$26,Q55)</f>
        <v>9.9999999999999995E-7</v>
      </c>
      <c r="CJ55" s="439">
        <f t="shared" si="45"/>
        <v>8</v>
      </c>
      <c r="CK55" s="439">
        <f>IF(CJ55=8,'JSM Jahresdauerlinie'!$E$26,S55)</f>
        <v>9.9999999999999995E-7</v>
      </c>
      <c r="CL55" s="439">
        <f t="shared" si="46"/>
        <v>8</v>
      </c>
      <c r="CM55" s="439">
        <f>IF(CL55=8,'JSM Jahresdauerlinie'!$E$26,U55)</f>
        <v>9.9999999999999995E-7</v>
      </c>
      <c r="CN55" s="439">
        <f t="shared" si="47"/>
        <v>8</v>
      </c>
      <c r="CO55" s="439">
        <f>IF(CN55=8,'JSM Jahresdauerlinie'!$E$26,W55)</f>
        <v>9.9999999999999995E-7</v>
      </c>
      <c r="CP55" s="439">
        <f t="shared" si="48"/>
        <v>8</v>
      </c>
      <c r="CQ55" s="439">
        <f>IF(CP55=8,'JSM Jahresdauerlinie'!$E$26,Y55)</f>
        <v>9.9999999999999995E-7</v>
      </c>
      <c r="CR55" s="439">
        <f t="shared" si="49"/>
        <v>8</v>
      </c>
      <c r="CS55" s="439">
        <f>IF(CR55=8,'JSM Jahresdauerlinie'!$E$26,AA55)</f>
        <v>9.9999999999999995E-7</v>
      </c>
      <c r="CT55" s="440"/>
      <c r="CW55" s="435">
        <f>IF(D55=8,'JSM Jahresdauerlinie'!$E$26,IF(BW55=0," ",BW55))</f>
        <v>9.9999999999999995E-7</v>
      </c>
      <c r="CX55" s="435">
        <f>IF(F55=8,'JSM Jahresdauerlinie'!$E$26,IF(BY55=0," ",BY55))</f>
        <v>9.9999999999999995E-7</v>
      </c>
      <c r="CY55" s="435">
        <f>IF(H55=8,'JSM Jahresdauerlinie'!$E$26,IF(CA55=0," ",CA55))</f>
        <v>9.9999999999999995E-7</v>
      </c>
      <c r="CZ55" s="435">
        <f>IF(J55=8,'JSM Jahresdauerlinie'!$E$26,IF(CC55=0," ",CC55))</f>
        <v>9.9999999999999995E-7</v>
      </c>
      <c r="DA55" s="435">
        <f>IF(L55=8,'JSM Jahresdauerlinie'!$E$26,IF(CE55=0," ",CE55))</f>
        <v>9.9999999999999995E-7</v>
      </c>
      <c r="DB55" s="435">
        <f>IF(N55=8,'JSM Jahresdauerlinie'!$E$26,IF(CG55=0," ",CG55))</f>
        <v>9.9999999999999995E-7</v>
      </c>
      <c r="DC55" s="435">
        <f>IF(P55=8,'JSM Jahresdauerlinie'!$E$26,IF(CI55=0," ",CI55))</f>
        <v>9.9999999999999995E-7</v>
      </c>
      <c r="DD55" s="435">
        <f>IF(R55=8,'JSM Jahresdauerlinie'!$E$26,IF(CK55=0," ",CK55))</f>
        <v>9.9999999999999995E-7</v>
      </c>
      <c r="DE55" s="435">
        <f>IF(T55=8,'JSM Jahresdauerlinie'!$E$26,IF(CM55=0," ",CM55))</f>
        <v>9.9999999999999995E-7</v>
      </c>
      <c r="DF55" s="435">
        <f>IF(V55=8,'JSM Jahresdauerlinie'!$E$26,IF(CO55=0," ",CO55))</f>
        <v>9.9999999999999995E-7</v>
      </c>
      <c r="DG55" s="435">
        <f>IF(X55=8,'JSM Jahresdauerlinie'!$E$26,IF(CQ55=0," ",CQ55))</f>
        <v>9.9999999999999995E-7</v>
      </c>
      <c r="DH55" s="435">
        <f>IF(Z55=8,'JSM Jahresdauerlinie'!$E$26,IF(CS55=0," ",CS55))</f>
        <v>9.9999999999999995E-7</v>
      </c>
      <c r="DJ55" s="441">
        <f t="shared" si="50"/>
        <v>9.9999999999999995E-7</v>
      </c>
      <c r="DK55" s="441">
        <f t="shared" si="86"/>
        <v>9.9999999999999995E-7</v>
      </c>
      <c r="DL55" s="441">
        <f t="shared" si="87"/>
        <v>9.9999999999999995E-7</v>
      </c>
      <c r="DM55" s="441">
        <f t="shared" si="88"/>
        <v>9.9999999999999995E-7</v>
      </c>
      <c r="DN55" s="441">
        <f t="shared" si="89"/>
        <v>9.9999999999999995E-7</v>
      </c>
      <c r="DO55" s="441">
        <f t="shared" si="90"/>
        <v>9.9999999999999995E-7</v>
      </c>
      <c r="DP55" s="441">
        <f t="shared" si="91"/>
        <v>9.9999999999999995E-7</v>
      </c>
      <c r="DQ55" s="441">
        <f t="shared" si="92"/>
        <v>9.9999999999999995E-7</v>
      </c>
      <c r="DR55" s="441">
        <f t="shared" si="93"/>
        <v>9.9999999999999995E-7</v>
      </c>
      <c r="DS55" s="441">
        <f t="shared" si="94"/>
        <v>9.9999999999999995E-7</v>
      </c>
      <c r="DT55" s="441">
        <f t="shared" si="95"/>
        <v>9.9999999999999995E-7</v>
      </c>
      <c r="DU55" s="441">
        <f t="shared" si="96"/>
        <v>9.9999999999999995E-7</v>
      </c>
      <c r="DX55" s="435">
        <f t="shared" si="61"/>
        <v>8</v>
      </c>
      <c r="DY55" s="435">
        <f t="shared" si="24"/>
        <v>8</v>
      </c>
      <c r="DZ55" s="435">
        <f t="shared" si="25"/>
        <v>8</v>
      </c>
      <c r="EA55" s="435">
        <f t="shared" si="26"/>
        <v>8</v>
      </c>
      <c r="EB55" s="435">
        <f t="shared" si="27"/>
        <v>8</v>
      </c>
      <c r="EC55" s="435">
        <f t="shared" si="28"/>
        <v>8</v>
      </c>
      <c r="ED55" s="435">
        <f t="shared" si="62"/>
        <v>8</v>
      </c>
      <c r="EE55" s="435">
        <f t="shared" si="29"/>
        <v>8</v>
      </c>
      <c r="EF55" s="435">
        <f t="shared" si="30"/>
        <v>8</v>
      </c>
      <c r="EG55" s="435">
        <f t="shared" si="31"/>
        <v>8</v>
      </c>
      <c r="EH55" s="435">
        <f t="shared" si="32"/>
        <v>8</v>
      </c>
      <c r="EI55" s="435">
        <f t="shared" si="33"/>
        <v>8</v>
      </c>
      <c r="EK55" s="441" t="str">
        <f t="shared" si="63"/>
        <v xml:space="preserve"> </v>
      </c>
      <c r="EL55" s="441" t="str">
        <f t="shared" si="64"/>
        <v xml:space="preserve"> </v>
      </c>
      <c r="EM55" s="441" t="str">
        <f t="shared" si="63"/>
        <v xml:space="preserve"> </v>
      </c>
      <c r="EN55" s="441" t="str">
        <f t="shared" si="64"/>
        <v xml:space="preserve"> </v>
      </c>
      <c r="EO55" s="441" t="str">
        <f t="shared" si="63"/>
        <v xml:space="preserve"> </v>
      </c>
      <c r="EP55" s="441" t="str">
        <f t="shared" si="64"/>
        <v xml:space="preserve"> </v>
      </c>
      <c r="EQ55" s="441" t="str">
        <f t="shared" si="63"/>
        <v xml:space="preserve"> </v>
      </c>
      <c r="ER55" s="441" t="str">
        <f t="shared" si="64"/>
        <v xml:space="preserve"> </v>
      </c>
      <c r="ES55" s="441" t="str">
        <f t="shared" si="63"/>
        <v xml:space="preserve"> </v>
      </c>
      <c r="ET55" s="441" t="str">
        <f t="shared" si="64"/>
        <v xml:space="preserve"> </v>
      </c>
      <c r="EU55" s="441" t="str">
        <f t="shared" si="63"/>
        <v xml:space="preserve"> </v>
      </c>
      <c r="EV55" s="441" t="str">
        <f t="shared" si="64"/>
        <v xml:space="preserve"> </v>
      </c>
      <c r="EW55" s="441" t="str">
        <f t="shared" si="63"/>
        <v xml:space="preserve"> </v>
      </c>
      <c r="EX55" s="441" t="str">
        <f t="shared" si="64"/>
        <v xml:space="preserve"> </v>
      </c>
      <c r="EY55" s="441" t="str">
        <f t="shared" si="63"/>
        <v xml:space="preserve"> </v>
      </c>
      <c r="EZ55" s="441" t="str">
        <f t="shared" si="64"/>
        <v xml:space="preserve"> </v>
      </c>
      <c r="FA55" s="441" t="str">
        <f t="shared" si="97"/>
        <v xml:space="preserve"> </v>
      </c>
      <c r="FB55" s="441" t="str">
        <f t="shared" si="98"/>
        <v xml:space="preserve"> </v>
      </c>
      <c r="FC55" s="441" t="str">
        <f t="shared" si="97"/>
        <v xml:space="preserve"> </v>
      </c>
      <c r="FD55" s="441" t="str">
        <f t="shared" si="98"/>
        <v xml:space="preserve"> </v>
      </c>
      <c r="FE55" s="441" t="str">
        <f t="shared" si="97"/>
        <v xml:space="preserve"> </v>
      </c>
      <c r="FF55" s="441" t="str">
        <f t="shared" si="98"/>
        <v xml:space="preserve"> </v>
      </c>
      <c r="FG55" s="437" t="str">
        <f t="shared" si="97"/>
        <v xml:space="preserve"> </v>
      </c>
      <c r="FH55" s="441" t="str">
        <f t="shared" si="98"/>
        <v xml:space="preserve"> </v>
      </c>
    </row>
    <row r="56" spans="1:164" ht="14.25" x14ac:dyDescent="0.2">
      <c r="B56" s="210">
        <v>25</v>
      </c>
      <c r="D56" s="745"/>
      <c r="E56" s="740"/>
      <c r="F56" s="740"/>
      <c r="G56" s="740"/>
      <c r="H56" s="740"/>
      <c r="I56" s="740"/>
      <c r="J56" s="740"/>
      <c r="K56" s="740"/>
      <c r="L56" s="740"/>
      <c r="M56" s="740"/>
      <c r="N56" s="740"/>
      <c r="O56" s="740"/>
      <c r="P56" s="740"/>
      <c r="Q56" s="740"/>
      <c r="R56" s="740"/>
      <c r="S56" s="740"/>
      <c r="T56" s="740"/>
      <c r="U56" s="740"/>
      <c r="V56" s="740"/>
      <c r="W56" s="740"/>
      <c r="X56" s="747"/>
      <c r="Y56" s="740"/>
      <c r="Z56" s="740"/>
      <c r="AA56" s="740"/>
      <c r="AF56" s="413" t="str">
        <f t="shared" si="34"/>
        <v xml:space="preserve"> </v>
      </c>
      <c r="AG56" s="413" t="str">
        <f t="shared" si="78"/>
        <v xml:space="preserve"> </v>
      </c>
      <c r="AH56" s="413" t="str">
        <f t="shared" si="79"/>
        <v xml:space="preserve"> </v>
      </c>
      <c r="AI56" s="413" t="str">
        <f t="shared" si="80"/>
        <v xml:space="preserve"> </v>
      </c>
      <c r="AJ56" s="413" t="str">
        <f t="shared" si="81"/>
        <v xml:space="preserve"> </v>
      </c>
      <c r="AK56" s="413" t="str">
        <f t="shared" si="82"/>
        <v xml:space="preserve"> </v>
      </c>
      <c r="AL56" s="413" t="str">
        <f t="shared" si="83"/>
        <v xml:space="preserve"> </v>
      </c>
      <c r="AM56" s="413" t="str">
        <f t="shared" si="84"/>
        <v xml:space="preserve"> </v>
      </c>
      <c r="AN56" s="413" t="str">
        <f t="shared" si="7"/>
        <v xml:space="preserve"> </v>
      </c>
      <c r="AO56" s="413" t="str">
        <f t="shared" si="8"/>
        <v xml:space="preserve"> </v>
      </c>
      <c r="AP56" s="413" t="str">
        <f t="shared" si="9"/>
        <v xml:space="preserve"> </v>
      </c>
      <c r="AQ56" s="413" t="str">
        <f t="shared" si="10"/>
        <v xml:space="preserve"> </v>
      </c>
      <c r="AU56" s="438">
        <f t="shared" si="35"/>
        <v>0</v>
      </c>
      <c r="AV56" s="438" t="str">
        <f t="shared" si="36"/>
        <v/>
      </c>
      <c r="AW56" s="438">
        <f t="shared" si="77"/>
        <v>0</v>
      </c>
      <c r="AX56" s="438" t="str">
        <f t="shared" si="36"/>
        <v/>
      </c>
      <c r="AY56" s="438">
        <f t="shared" si="67"/>
        <v>0</v>
      </c>
      <c r="AZ56" s="438" t="str">
        <f t="shared" si="36"/>
        <v/>
      </c>
      <c r="BA56" s="438">
        <f t="shared" si="68"/>
        <v>0</v>
      </c>
      <c r="BB56" s="438" t="str">
        <f t="shared" si="36"/>
        <v/>
      </c>
      <c r="BC56" s="438">
        <f t="shared" si="69"/>
        <v>0</v>
      </c>
      <c r="BD56" s="438" t="str">
        <f t="shared" si="36"/>
        <v/>
      </c>
      <c r="BE56" s="438">
        <f t="shared" si="70"/>
        <v>0</v>
      </c>
      <c r="BF56" s="438" t="str">
        <f t="shared" si="36"/>
        <v/>
      </c>
      <c r="BG56" s="438">
        <f t="shared" si="71"/>
        <v>0</v>
      </c>
      <c r="BH56" s="438" t="str">
        <f t="shared" si="36"/>
        <v/>
      </c>
      <c r="BI56" s="438">
        <f t="shared" si="72"/>
        <v>0</v>
      </c>
      <c r="BJ56" s="438" t="str">
        <f t="shared" si="36"/>
        <v/>
      </c>
      <c r="BK56" s="438">
        <f t="shared" si="73"/>
        <v>0</v>
      </c>
      <c r="BL56" s="438" t="str">
        <f t="shared" si="85"/>
        <v/>
      </c>
      <c r="BM56" s="438">
        <f t="shared" si="74"/>
        <v>0</v>
      </c>
      <c r="BN56" s="438" t="str">
        <f t="shared" si="85"/>
        <v/>
      </c>
      <c r="BO56" s="438">
        <f t="shared" si="75"/>
        <v>0</v>
      </c>
      <c r="BP56" s="438" t="str">
        <f t="shared" si="85"/>
        <v/>
      </c>
      <c r="BQ56" s="438">
        <f t="shared" si="76"/>
        <v>0</v>
      </c>
      <c r="BR56" s="438" t="str">
        <f t="shared" si="85"/>
        <v/>
      </c>
      <c r="BV56" s="439">
        <f t="shared" si="38"/>
        <v>8</v>
      </c>
      <c r="BW56" s="439">
        <f>IF(BV56=8,'JSM Jahresdauerlinie'!$E$26,E56)</f>
        <v>9.9999999999999995E-7</v>
      </c>
      <c r="BX56" s="439">
        <f t="shared" si="39"/>
        <v>8</v>
      </c>
      <c r="BY56" s="439">
        <f>IF(BX56=8,'JSM Jahresdauerlinie'!$E$26,G56)</f>
        <v>9.9999999999999995E-7</v>
      </c>
      <c r="BZ56" s="439">
        <f t="shared" si="40"/>
        <v>8</v>
      </c>
      <c r="CA56" s="439">
        <f>IF(BZ56=8,'JSM Jahresdauerlinie'!$E$26,I56)</f>
        <v>9.9999999999999995E-7</v>
      </c>
      <c r="CB56" s="439">
        <f t="shared" si="41"/>
        <v>8</v>
      </c>
      <c r="CC56" s="439">
        <f>IF(CB56=8,'JSM Jahresdauerlinie'!$E$26,K56)</f>
        <v>9.9999999999999995E-7</v>
      </c>
      <c r="CD56" s="439">
        <f t="shared" si="42"/>
        <v>8</v>
      </c>
      <c r="CE56" s="439">
        <f>IF(CD56=8,'JSM Jahresdauerlinie'!$E$26,M56)</f>
        <v>9.9999999999999995E-7</v>
      </c>
      <c r="CF56" s="439">
        <f t="shared" si="43"/>
        <v>8</v>
      </c>
      <c r="CG56" s="439">
        <f>IF(CF56=8,'JSM Jahresdauerlinie'!$E$26,O56)</f>
        <v>9.9999999999999995E-7</v>
      </c>
      <c r="CH56" s="439">
        <f t="shared" si="44"/>
        <v>8</v>
      </c>
      <c r="CI56" s="439">
        <f>IF(CH56=8,'JSM Jahresdauerlinie'!$E$26,Q56)</f>
        <v>9.9999999999999995E-7</v>
      </c>
      <c r="CJ56" s="439">
        <f t="shared" si="45"/>
        <v>8</v>
      </c>
      <c r="CK56" s="439">
        <f>IF(CJ56=8,'JSM Jahresdauerlinie'!$E$26,S56)</f>
        <v>9.9999999999999995E-7</v>
      </c>
      <c r="CL56" s="439">
        <f t="shared" si="46"/>
        <v>8</v>
      </c>
      <c r="CM56" s="439">
        <f>IF(CL56=8,'JSM Jahresdauerlinie'!$E$26,U56)</f>
        <v>9.9999999999999995E-7</v>
      </c>
      <c r="CN56" s="439">
        <f t="shared" si="47"/>
        <v>8</v>
      </c>
      <c r="CO56" s="439">
        <f>IF(CN56=8,'JSM Jahresdauerlinie'!$E$26,W56)</f>
        <v>9.9999999999999995E-7</v>
      </c>
      <c r="CP56" s="439">
        <f t="shared" si="48"/>
        <v>8</v>
      </c>
      <c r="CQ56" s="439">
        <f>IF(CP56=8,'JSM Jahresdauerlinie'!$E$26,Y56)</f>
        <v>9.9999999999999995E-7</v>
      </c>
      <c r="CR56" s="439">
        <f t="shared" si="49"/>
        <v>8</v>
      </c>
      <c r="CS56" s="439">
        <f>IF(CR56=8,'JSM Jahresdauerlinie'!$E$26,AA56)</f>
        <v>9.9999999999999995E-7</v>
      </c>
      <c r="CT56" s="440"/>
      <c r="CW56" s="435">
        <f>IF(D56=8,'JSM Jahresdauerlinie'!$E$26,IF(BW56=0," ",BW56))</f>
        <v>9.9999999999999995E-7</v>
      </c>
      <c r="CX56" s="435">
        <f>IF(F56=8,'JSM Jahresdauerlinie'!$E$26,IF(BY56=0," ",BY56))</f>
        <v>9.9999999999999995E-7</v>
      </c>
      <c r="CY56" s="435">
        <f>IF(H56=8,'JSM Jahresdauerlinie'!$E$26,IF(CA56=0," ",CA56))</f>
        <v>9.9999999999999995E-7</v>
      </c>
      <c r="CZ56" s="435">
        <f>IF(J56=8,'JSM Jahresdauerlinie'!$E$26,IF(CC56=0," ",CC56))</f>
        <v>9.9999999999999995E-7</v>
      </c>
      <c r="DA56" s="435">
        <f>IF(L56=8,'JSM Jahresdauerlinie'!$E$26,IF(CE56=0," ",CE56))</f>
        <v>9.9999999999999995E-7</v>
      </c>
      <c r="DB56" s="435">
        <f>IF(N56=8,'JSM Jahresdauerlinie'!$E$26,IF(CG56=0," ",CG56))</f>
        <v>9.9999999999999995E-7</v>
      </c>
      <c r="DC56" s="435">
        <f>IF(P56=8,'JSM Jahresdauerlinie'!$E$26,IF(CI56=0," ",CI56))</f>
        <v>9.9999999999999995E-7</v>
      </c>
      <c r="DD56" s="435">
        <f>IF(R56=8,'JSM Jahresdauerlinie'!$E$26,IF(CK56=0," ",CK56))</f>
        <v>9.9999999999999995E-7</v>
      </c>
      <c r="DE56" s="435">
        <f>IF(T56=8,'JSM Jahresdauerlinie'!$E$26,IF(CM56=0," ",CM56))</f>
        <v>9.9999999999999995E-7</v>
      </c>
      <c r="DF56" s="435">
        <f>IF(V56=8,'JSM Jahresdauerlinie'!$E$26,IF(CO56=0," ",CO56))</f>
        <v>9.9999999999999995E-7</v>
      </c>
      <c r="DG56" s="435">
        <f>IF(X56=8,'JSM Jahresdauerlinie'!$E$26,IF(CQ56=0," ",CQ56))</f>
        <v>9.9999999999999995E-7</v>
      </c>
      <c r="DH56" s="435">
        <f>IF(Z56=8,'JSM Jahresdauerlinie'!$E$26,IF(CS56=0," ",CS56))</f>
        <v>9.9999999999999995E-7</v>
      </c>
      <c r="DJ56" s="441">
        <f t="shared" si="50"/>
        <v>9.9999999999999995E-7</v>
      </c>
      <c r="DK56" s="441">
        <f t="shared" si="86"/>
        <v>9.9999999999999995E-7</v>
      </c>
      <c r="DL56" s="441">
        <f t="shared" si="87"/>
        <v>9.9999999999999995E-7</v>
      </c>
      <c r="DM56" s="441">
        <f t="shared" si="88"/>
        <v>9.9999999999999995E-7</v>
      </c>
      <c r="DN56" s="441">
        <f t="shared" si="89"/>
        <v>9.9999999999999995E-7</v>
      </c>
      <c r="DO56" s="441">
        <f t="shared" si="90"/>
        <v>9.9999999999999995E-7</v>
      </c>
      <c r="DP56" s="441">
        <f t="shared" si="91"/>
        <v>9.9999999999999995E-7</v>
      </c>
      <c r="DQ56" s="441">
        <f t="shared" si="92"/>
        <v>9.9999999999999995E-7</v>
      </c>
      <c r="DR56" s="441">
        <f t="shared" si="93"/>
        <v>9.9999999999999995E-7</v>
      </c>
      <c r="DS56" s="441">
        <f t="shared" si="94"/>
        <v>9.9999999999999995E-7</v>
      </c>
      <c r="DT56" s="441">
        <f t="shared" si="95"/>
        <v>9.9999999999999995E-7</v>
      </c>
      <c r="DU56" s="441">
        <f t="shared" si="96"/>
        <v>9.9999999999999995E-7</v>
      </c>
      <c r="DX56" s="435">
        <f t="shared" si="61"/>
        <v>8</v>
      </c>
      <c r="DY56" s="435">
        <f t="shared" si="24"/>
        <v>8</v>
      </c>
      <c r="DZ56" s="435">
        <f t="shared" si="25"/>
        <v>8</v>
      </c>
      <c r="EA56" s="435">
        <f t="shared" si="26"/>
        <v>8</v>
      </c>
      <c r="EB56" s="435">
        <f t="shared" si="27"/>
        <v>8</v>
      </c>
      <c r="EC56" s="435">
        <f t="shared" si="28"/>
        <v>8</v>
      </c>
      <c r="ED56" s="435">
        <f t="shared" si="62"/>
        <v>8</v>
      </c>
      <c r="EE56" s="435">
        <f t="shared" si="29"/>
        <v>8</v>
      </c>
      <c r="EF56" s="435">
        <f t="shared" si="30"/>
        <v>8</v>
      </c>
      <c r="EG56" s="435">
        <f t="shared" si="31"/>
        <v>8</v>
      </c>
      <c r="EH56" s="435">
        <f t="shared" si="32"/>
        <v>8</v>
      </c>
      <c r="EI56" s="435">
        <f t="shared" si="33"/>
        <v>8</v>
      </c>
      <c r="EK56" s="441" t="str">
        <f t="shared" si="63"/>
        <v xml:space="preserve"> </v>
      </c>
      <c r="EL56" s="441" t="str">
        <f t="shared" si="64"/>
        <v xml:space="preserve"> </v>
      </c>
      <c r="EM56" s="441" t="str">
        <f t="shared" si="63"/>
        <v xml:space="preserve"> </v>
      </c>
      <c r="EN56" s="441" t="str">
        <f t="shared" si="64"/>
        <v xml:space="preserve"> </v>
      </c>
      <c r="EO56" s="441" t="str">
        <f t="shared" si="63"/>
        <v xml:space="preserve"> </v>
      </c>
      <c r="EP56" s="441" t="str">
        <f t="shared" si="64"/>
        <v xml:space="preserve"> </v>
      </c>
      <c r="EQ56" s="441" t="str">
        <f t="shared" si="63"/>
        <v xml:space="preserve"> </v>
      </c>
      <c r="ER56" s="441" t="str">
        <f t="shared" si="64"/>
        <v xml:space="preserve"> </v>
      </c>
      <c r="ES56" s="441" t="str">
        <f t="shared" si="63"/>
        <v xml:space="preserve"> </v>
      </c>
      <c r="ET56" s="441" t="str">
        <f t="shared" si="64"/>
        <v xml:space="preserve"> </v>
      </c>
      <c r="EU56" s="441" t="str">
        <f t="shared" si="63"/>
        <v xml:space="preserve"> </v>
      </c>
      <c r="EV56" s="441" t="str">
        <f t="shared" si="64"/>
        <v xml:space="preserve"> </v>
      </c>
      <c r="EW56" s="441" t="str">
        <f t="shared" si="63"/>
        <v xml:space="preserve"> </v>
      </c>
      <c r="EX56" s="441" t="str">
        <f t="shared" si="64"/>
        <v xml:space="preserve"> </v>
      </c>
      <c r="EY56" s="441" t="str">
        <f t="shared" si="63"/>
        <v xml:space="preserve"> </v>
      </c>
      <c r="EZ56" s="441" t="str">
        <f t="shared" si="64"/>
        <v xml:space="preserve"> </v>
      </c>
      <c r="FA56" s="441" t="str">
        <f t="shared" si="97"/>
        <v xml:space="preserve"> </v>
      </c>
      <c r="FB56" s="441" t="str">
        <f t="shared" si="98"/>
        <v xml:space="preserve"> </v>
      </c>
      <c r="FC56" s="441" t="str">
        <f t="shared" si="97"/>
        <v xml:space="preserve"> </v>
      </c>
      <c r="FD56" s="441" t="str">
        <f t="shared" si="98"/>
        <v xml:space="preserve"> </v>
      </c>
      <c r="FE56" s="441" t="str">
        <f t="shared" si="97"/>
        <v xml:space="preserve"> </v>
      </c>
      <c r="FF56" s="441" t="str">
        <f t="shared" si="98"/>
        <v xml:space="preserve"> </v>
      </c>
      <c r="FG56" s="437" t="str">
        <f t="shared" si="97"/>
        <v xml:space="preserve"> </v>
      </c>
      <c r="FH56" s="441" t="str">
        <f t="shared" si="98"/>
        <v xml:space="preserve"> </v>
      </c>
    </row>
    <row r="57" spans="1:164" ht="14.25" x14ac:dyDescent="0.2">
      <c r="B57" s="210">
        <v>26</v>
      </c>
      <c r="D57" s="740"/>
      <c r="E57" s="740"/>
      <c r="F57" s="740"/>
      <c r="G57" s="740"/>
      <c r="H57" s="740"/>
      <c r="I57" s="740"/>
      <c r="J57" s="740"/>
      <c r="K57" s="740"/>
      <c r="L57" s="740"/>
      <c r="M57" s="740"/>
      <c r="N57" s="740"/>
      <c r="O57" s="740"/>
      <c r="P57" s="740"/>
      <c r="Q57" s="740"/>
      <c r="R57" s="740"/>
      <c r="S57" s="740"/>
      <c r="T57" s="740"/>
      <c r="U57" s="740"/>
      <c r="V57" s="740"/>
      <c r="W57" s="740"/>
      <c r="X57" s="741"/>
      <c r="Y57" s="740"/>
      <c r="Z57" s="740"/>
      <c r="AA57" s="740"/>
      <c r="AF57" s="413" t="str">
        <f t="shared" si="34"/>
        <v xml:space="preserve"> </v>
      </c>
      <c r="AG57" s="413" t="str">
        <f t="shared" si="78"/>
        <v xml:space="preserve"> </v>
      </c>
      <c r="AH57" s="413" t="str">
        <f t="shared" si="79"/>
        <v xml:space="preserve"> </v>
      </c>
      <c r="AI57" s="413" t="str">
        <f t="shared" si="80"/>
        <v xml:space="preserve"> </v>
      </c>
      <c r="AJ57" s="413" t="str">
        <f t="shared" si="81"/>
        <v xml:space="preserve"> </v>
      </c>
      <c r="AK57" s="413" t="str">
        <f t="shared" si="82"/>
        <v xml:space="preserve"> </v>
      </c>
      <c r="AL57" s="413" t="str">
        <f t="shared" si="83"/>
        <v xml:space="preserve"> </v>
      </c>
      <c r="AM57" s="413" t="str">
        <f t="shared" si="84"/>
        <v xml:space="preserve"> </v>
      </c>
      <c r="AN57" s="413" t="str">
        <f t="shared" si="7"/>
        <v xml:space="preserve"> </v>
      </c>
      <c r="AO57" s="413" t="str">
        <f t="shared" si="8"/>
        <v xml:space="preserve"> </v>
      </c>
      <c r="AP57" s="413" t="str">
        <f t="shared" si="9"/>
        <v xml:space="preserve"> </v>
      </c>
      <c r="AQ57" s="413" t="str">
        <f t="shared" si="10"/>
        <v xml:space="preserve"> </v>
      </c>
      <c r="AU57" s="438">
        <f t="shared" si="35"/>
        <v>0</v>
      </c>
      <c r="AV57" s="438" t="str">
        <f t="shared" si="36"/>
        <v/>
      </c>
      <c r="AW57" s="438">
        <f t="shared" si="77"/>
        <v>0</v>
      </c>
      <c r="AX57" s="438" t="str">
        <f t="shared" si="36"/>
        <v/>
      </c>
      <c r="AY57" s="438">
        <f t="shared" si="67"/>
        <v>0</v>
      </c>
      <c r="AZ57" s="438" t="str">
        <f t="shared" si="36"/>
        <v/>
      </c>
      <c r="BA57" s="438">
        <f t="shared" si="68"/>
        <v>0</v>
      </c>
      <c r="BB57" s="438" t="str">
        <f t="shared" si="36"/>
        <v/>
      </c>
      <c r="BC57" s="438">
        <f t="shared" si="69"/>
        <v>0</v>
      </c>
      <c r="BD57" s="438" t="str">
        <f t="shared" si="36"/>
        <v/>
      </c>
      <c r="BE57" s="438">
        <f t="shared" si="70"/>
        <v>0</v>
      </c>
      <c r="BF57" s="438" t="str">
        <f t="shared" si="36"/>
        <v/>
      </c>
      <c r="BG57" s="438">
        <f t="shared" si="71"/>
        <v>0</v>
      </c>
      <c r="BH57" s="438" t="str">
        <f t="shared" si="36"/>
        <v/>
      </c>
      <c r="BI57" s="438">
        <f t="shared" si="72"/>
        <v>0</v>
      </c>
      <c r="BJ57" s="438" t="str">
        <f t="shared" si="36"/>
        <v/>
      </c>
      <c r="BK57" s="438">
        <f t="shared" si="73"/>
        <v>0</v>
      </c>
      <c r="BL57" s="438" t="str">
        <f t="shared" si="85"/>
        <v/>
      </c>
      <c r="BM57" s="438">
        <f t="shared" si="74"/>
        <v>0</v>
      </c>
      <c r="BN57" s="438" t="str">
        <f t="shared" si="85"/>
        <v/>
      </c>
      <c r="BO57" s="438">
        <f t="shared" si="75"/>
        <v>0</v>
      </c>
      <c r="BP57" s="438" t="str">
        <f t="shared" si="85"/>
        <v/>
      </c>
      <c r="BQ57" s="438">
        <f t="shared" si="76"/>
        <v>0</v>
      </c>
      <c r="BR57" s="438" t="str">
        <f t="shared" si="85"/>
        <v/>
      </c>
      <c r="BV57" s="439">
        <f t="shared" si="38"/>
        <v>8</v>
      </c>
      <c r="BW57" s="439">
        <f>IF(BV57=8,'JSM Jahresdauerlinie'!$E$26,E57)</f>
        <v>9.9999999999999995E-7</v>
      </c>
      <c r="BX57" s="439">
        <f t="shared" si="39"/>
        <v>8</v>
      </c>
      <c r="BY57" s="439">
        <f>IF(BX57=8,'JSM Jahresdauerlinie'!$E$26,G57)</f>
        <v>9.9999999999999995E-7</v>
      </c>
      <c r="BZ57" s="439">
        <f t="shared" si="40"/>
        <v>8</v>
      </c>
      <c r="CA57" s="439">
        <f>IF(BZ57=8,'JSM Jahresdauerlinie'!$E$26,I57)</f>
        <v>9.9999999999999995E-7</v>
      </c>
      <c r="CB57" s="439">
        <f t="shared" si="41"/>
        <v>8</v>
      </c>
      <c r="CC57" s="439">
        <f>IF(CB57=8,'JSM Jahresdauerlinie'!$E$26,K57)</f>
        <v>9.9999999999999995E-7</v>
      </c>
      <c r="CD57" s="439">
        <f t="shared" si="42"/>
        <v>8</v>
      </c>
      <c r="CE57" s="439">
        <f>IF(CD57=8,'JSM Jahresdauerlinie'!$E$26,M57)</f>
        <v>9.9999999999999995E-7</v>
      </c>
      <c r="CF57" s="439">
        <f t="shared" si="43"/>
        <v>8</v>
      </c>
      <c r="CG57" s="439">
        <f>IF(CF57=8,'JSM Jahresdauerlinie'!$E$26,O57)</f>
        <v>9.9999999999999995E-7</v>
      </c>
      <c r="CH57" s="439">
        <f t="shared" si="44"/>
        <v>8</v>
      </c>
      <c r="CI57" s="439">
        <f>IF(CH57=8,'JSM Jahresdauerlinie'!$E$26,Q57)</f>
        <v>9.9999999999999995E-7</v>
      </c>
      <c r="CJ57" s="439">
        <f t="shared" si="45"/>
        <v>8</v>
      </c>
      <c r="CK57" s="439">
        <f>IF(CJ57=8,'JSM Jahresdauerlinie'!$E$26,S57)</f>
        <v>9.9999999999999995E-7</v>
      </c>
      <c r="CL57" s="439">
        <f t="shared" si="46"/>
        <v>8</v>
      </c>
      <c r="CM57" s="439">
        <f>IF(CL57=8,'JSM Jahresdauerlinie'!$E$26,U57)</f>
        <v>9.9999999999999995E-7</v>
      </c>
      <c r="CN57" s="439">
        <f t="shared" si="47"/>
        <v>8</v>
      </c>
      <c r="CO57" s="439">
        <f>IF(CN57=8,'JSM Jahresdauerlinie'!$E$26,W57)</f>
        <v>9.9999999999999995E-7</v>
      </c>
      <c r="CP57" s="439">
        <f t="shared" si="48"/>
        <v>8</v>
      </c>
      <c r="CQ57" s="439">
        <f>IF(CP57=8,'JSM Jahresdauerlinie'!$E$26,Y57)</f>
        <v>9.9999999999999995E-7</v>
      </c>
      <c r="CR57" s="439">
        <f t="shared" si="49"/>
        <v>8</v>
      </c>
      <c r="CS57" s="439">
        <f>IF(CR57=8,'JSM Jahresdauerlinie'!$E$26,AA57)</f>
        <v>9.9999999999999995E-7</v>
      </c>
      <c r="CT57" s="440"/>
      <c r="CW57" s="435">
        <f>IF(D57=8,'JSM Jahresdauerlinie'!$E$26,IF(BW57=0," ",BW57))</f>
        <v>9.9999999999999995E-7</v>
      </c>
      <c r="CX57" s="435">
        <f>IF(F57=8,'JSM Jahresdauerlinie'!$E$26,IF(BY57=0," ",BY57))</f>
        <v>9.9999999999999995E-7</v>
      </c>
      <c r="CY57" s="435">
        <f>IF(H57=8,'JSM Jahresdauerlinie'!$E$26,IF(CA57=0," ",CA57))</f>
        <v>9.9999999999999995E-7</v>
      </c>
      <c r="CZ57" s="435">
        <f>IF(J57=8,'JSM Jahresdauerlinie'!$E$26,IF(CC57=0," ",CC57))</f>
        <v>9.9999999999999995E-7</v>
      </c>
      <c r="DA57" s="435">
        <f>IF(L57=8,'JSM Jahresdauerlinie'!$E$26,IF(CE57=0," ",CE57))</f>
        <v>9.9999999999999995E-7</v>
      </c>
      <c r="DB57" s="435">
        <f>IF(N57=8,'JSM Jahresdauerlinie'!$E$26,IF(CG57=0," ",CG57))</f>
        <v>9.9999999999999995E-7</v>
      </c>
      <c r="DC57" s="435">
        <f>IF(P57=8,'JSM Jahresdauerlinie'!$E$26,IF(CI57=0," ",CI57))</f>
        <v>9.9999999999999995E-7</v>
      </c>
      <c r="DD57" s="435">
        <f>IF(R57=8,'JSM Jahresdauerlinie'!$E$26,IF(CK57=0," ",CK57))</f>
        <v>9.9999999999999995E-7</v>
      </c>
      <c r="DE57" s="435">
        <f>IF(T57=8,'JSM Jahresdauerlinie'!$E$26,IF(CM57=0," ",CM57))</f>
        <v>9.9999999999999995E-7</v>
      </c>
      <c r="DF57" s="435">
        <f>IF(V57=8,'JSM Jahresdauerlinie'!$E$26,IF(CO57=0," ",CO57))</f>
        <v>9.9999999999999995E-7</v>
      </c>
      <c r="DG57" s="435">
        <f>IF(X57=8,'JSM Jahresdauerlinie'!$E$26,IF(CQ57=0," ",CQ57))</f>
        <v>9.9999999999999995E-7</v>
      </c>
      <c r="DH57" s="435">
        <f>IF(Z57=8,'JSM Jahresdauerlinie'!$E$26,IF(CS57=0," ",CS57))</f>
        <v>9.9999999999999995E-7</v>
      </c>
      <c r="DJ57" s="441">
        <f t="shared" si="50"/>
        <v>9.9999999999999995E-7</v>
      </c>
      <c r="DK57" s="441">
        <f t="shared" si="86"/>
        <v>9.9999999999999995E-7</v>
      </c>
      <c r="DL57" s="441">
        <f t="shared" si="87"/>
        <v>9.9999999999999995E-7</v>
      </c>
      <c r="DM57" s="441">
        <f t="shared" si="88"/>
        <v>9.9999999999999995E-7</v>
      </c>
      <c r="DN57" s="441">
        <f t="shared" si="89"/>
        <v>9.9999999999999995E-7</v>
      </c>
      <c r="DO57" s="441">
        <f t="shared" si="90"/>
        <v>9.9999999999999995E-7</v>
      </c>
      <c r="DP57" s="441">
        <f t="shared" si="91"/>
        <v>9.9999999999999995E-7</v>
      </c>
      <c r="DQ57" s="441">
        <f t="shared" si="92"/>
        <v>9.9999999999999995E-7</v>
      </c>
      <c r="DR57" s="441">
        <f t="shared" si="93"/>
        <v>9.9999999999999995E-7</v>
      </c>
      <c r="DS57" s="441">
        <f t="shared" si="94"/>
        <v>9.9999999999999995E-7</v>
      </c>
      <c r="DT57" s="441">
        <f t="shared" si="95"/>
        <v>9.9999999999999995E-7</v>
      </c>
      <c r="DU57" s="441">
        <f t="shared" si="96"/>
        <v>9.9999999999999995E-7</v>
      </c>
      <c r="DX57" s="435">
        <f t="shared" si="61"/>
        <v>8</v>
      </c>
      <c r="DY57" s="435">
        <f t="shared" si="24"/>
        <v>8</v>
      </c>
      <c r="DZ57" s="435">
        <f t="shared" si="25"/>
        <v>8</v>
      </c>
      <c r="EA57" s="435">
        <f t="shared" si="26"/>
        <v>8</v>
      </c>
      <c r="EB57" s="435">
        <f t="shared" si="27"/>
        <v>8</v>
      </c>
      <c r="EC57" s="435">
        <f t="shared" si="28"/>
        <v>8</v>
      </c>
      <c r="ED57" s="435">
        <f t="shared" si="62"/>
        <v>8</v>
      </c>
      <c r="EE57" s="435">
        <f t="shared" si="29"/>
        <v>8</v>
      </c>
      <c r="EF57" s="435">
        <f t="shared" si="30"/>
        <v>8</v>
      </c>
      <c r="EG57" s="435">
        <f t="shared" si="31"/>
        <v>8</v>
      </c>
      <c r="EH57" s="435">
        <f t="shared" si="32"/>
        <v>8</v>
      </c>
      <c r="EI57" s="435">
        <f t="shared" si="33"/>
        <v>8</v>
      </c>
      <c r="EK57" s="441" t="str">
        <f t="shared" si="63"/>
        <v xml:space="preserve"> </v>
      </c>
      <c r="EL57" s="441" t="str">
        <f t="shared" si="64"/>
        <v xml:space="preserve"> </v>
      </c>
      <c r="EM57" s="441" t="str">
        <f t="shared" si="63"/>
        <v xml:space="preserve"> </v>
      </c>
      <c r="EN57" s="441" t="str">
        <f t="shared" si="64"/>
        <v xml:space="preserve"> </v>
      </c>
      <c r="EO57" s="441" t="str">
        <f t="shared" si="63"/>
        <v xml:space="preserve"> </v>
      </c>
      <c r="EP57" s="441" t="str">
        <f t="shared" si="64"/>
        <v xml:space="preserve"> </v>
      </c>
      <c r="EQ57" s="441" t="str">
        <f t="shared" si="63"/>
        <v xml:space="preserve"> </v>
      </c>
      <c r="ER57" s="441" t="str">
        <f t="shared" si="64"/>
        <v xml:space="preserve"> </v>
      </c>
      <c r="ES57" s="441" t="str">
        <f t="shared" si="63"/>
        <v xml:space="preserve"> </v>
      </c>
      <c r="ET57" s="441" t="str">
        <f t="shared" si="64"/>
        <v xml:space="preserve"> </v>
      </c>
      <c r="EU57" s="441" t="str">
        <f t="shared" si="63"/>
        <v xml:space="preserve"> </v>
      </c>
      <c r="EV57" s="441" t="str">
        <f t="shared" si="64"/>
        <v xml:space="preserve"> </v>
      </c>
      <c r="EW57" s="441" t="str">
        <f t="shared" si="63"/>
        <v xml:space="preserve"> </v>
      </c>
      <c r="EX57" s="441" t="str">
        <f t="shared" si="64"/>
        <v xml:space="preserve"> </v>
      </c>
      <c r="EY57" s="441" t="str">
        <f t="shared" si="63"/>
        <v xml:space="preserve"> </v>
      </c>
      <c r="EZ57" s="441" t="str">
        <f t="shared" si="64"/>
        <v xml:space="preserve"> </v>
      </c>
      <c r="FA57" s="441" t="str">
        <f t="shared" si="97"/>
        <v xml:space="preserve"> </v>
      </c>
      <c r="FB57" s="441" t="str">
        <f t="shared" si="98"/>
        <v xml:space="preserve"> </v>
      </c>
      <c r="FC57" s="441" t="str">
        <f t="shared" si="97"/>
        <v xml:space="preserve"> </v>
      </c>
      <c r="FD57" s="441" t="str">
        <f t="shared" si="98"/>
        <v xml:space="preserve"> </v>
      </c>
      <c r="FE57" s="441" t="str">
        <f t="shared" si="97"/>
        <v xml:space="preserve"> </v>
      </c>
      <c r="FF57" s="441" t="str">
        <f t="shared" si="98"/>
        <v xml:space="preserve"> </v>
      </c>
      <c r="FG57" s="437" t="str">
        <f t="shared" si="97"/>
        <v xml:space="preserve"> </v>
      </c>
      <c r="FH57" s="441" t="str">
        <f t="shared" si="98"/>
        <v xml:space="preserve"> </v>
      </c>
    </row>
    <row r="58" spans="1:164" ht="14.25" x14ac:dyDescent="0.2">
      <c r="B58" s="210">
        <v>27</v>
      </c>
      <c r="D58" s="745"/>
      <c r="E58" s="740"/>
      <c r="F58" s="740"/>
      <c r="G58" s="740"/>
      <c r="H58" s="740"/>
      <c r="I58" s="740"/>
      <c r="J58" s="740"/>
      <c r="K58" s="740"/>
      <c r="L58" s="740"/>
      <c r="M58" s="740"/>
      <c r="N58" s="740"/>
      <c r="O58" s="740"/>
      <c r="P58" s="740"/>
      <c r="Q58" s="740"/>
      <c r="R58" s="740"/>
      <c r="S58" s="740"/>
      <c r="T58" s="740"/>
      <c r="U58" s="740"/>
      <c r="V58" s="740"/>
      <c r="W58" s="740"/>
      <c r="X58" s="747"/>
      <c r="Y58" s="740"/>
      <c r="Z58" s="740"/>
      <c r="AA58" s="740"/>
      <c r="AF58" s="413" t="str">
        <f t="shared" si="34"/>
        <v xml:space="preserve"> </v>
      </c>
      <c r="AG58" s="413" t="str">
        <f t="shared" si="78"/>
        <v xml:space="preserve"> </v>
      </c>
      <c r="AH58" s="413" t="str">
        <f t="shared" si="79"/>
        <v xml:space="preserve"> </v>
      </c>
      <c r="AI58" s="413" t="str">
        <f t="shared" si="80"/>
        <v xml:space="preserve"> </v>
      </c>
      <c r="AJ58" s="413" t="str">
        <f t="shared" si="81"/>
        <v xml:space="preserve"> </v>
      </c>
      <c r="AK58" s="413" t="str">
        <f t="shared" si="82"/>
        <v xml:space="preserve"> </v>
      </c>
      <c r="AL58" s="413" t="str">
        <f t="shared" si="83"/>
        <v xml:space="preserve"> </v>
      </c>
      <c r="AM58" s="413" t="str">
        <f t="shared" si="84"/>
        <v xml:space="preserve"> </v>
      </c>
      <c r="AN58" s="413" t="str">
        <f t="shared" si="7"/>
        <v xml:space="preserve"> </v>
      </c>
      <c r="AO58" s="413" t="str">
        <f t="shared" si="8"/>
        <v xml:space="preserve"> </v>
      </c>
      <c r="AP58" s="413" t="str">
        <f t="shared" si="9"/>
        <v xml:space="preserve"> </v>
      </c>
      <c r="AQ58" s="413" t="str">
        <f t="shared" si="10"/>
        <v xml:space="preserve"> </v>
      </c>
      <c r="AU58" s="438">
        <f t="shared" si="35"/>
        <v>0</v>
      </c>
      <c r="AV58" s="438" t="str">
        <f t="shared" si="36"/>
        <v/>
      </c>
      <c r="AW58" s="438">
        <f t="shared" si="77"/>
        <v>0</v>
      </c>
      <c r="AX58" s="438" t="str">
        <f t="shared" si="36"/>
        <v/>
      </c>
      <c r="AY58" s="438">
        <f t="shared" si="67"/>
        <v>0</v>
      </c>
      <c r="AZ58" s="438" t="str">
        <f t="shared" si="36"/>
        <v/>
      </c>
      <c r="BA58" s="438">
        <f t="shared" si="68"/>
        <v>0</v>
      </c>
      <c r="BB58" s="438" t="str">
        <f t="shared" si="36"/>
        <v/>
      </c>
      <c r="BC58" s="438">
        <f t="shared" si="69"/>
        <v>0</v>
      </c>
      <c r="BD58" s="438" t="str">
        <f t="shared" si="36"/>
        <v/>
      </c>
      <c r="BE58" s="438">
        <f t="shared" si="70"/>
        <v>0</v>
      </c>
      <c r="BF58" s="438" t="str">
        <f t="shared" si="36"/>
        <v/>
      </c>
      <c r="BG58" s="438">
        <f t="shared" si="71"/>
        <v>0</v>
      </c>
      <c r="BH58" s="438" t="str">
        <f t="shared" si="36"/>
        <v/>
      </c>
      <c r="BI58" s="438">
        <f t="shared" si="72"/>
        <v>0</v>
      </c>
      <c r="BJ58" s="438" t="str">
        <f t="shared" si="36"/>
        <v/>
      </c>
      <c r="BK58" s="438">
        <f t="shared" si="73"/>
        <v>0</v>
      </c>
      <c r="BL58" s="438" t="str">
        <f t="shared" si="85"/>
        <v/>
      </c>
      <c r="BM58" s="438">
        <f t="shared" si="74"/>
        <v>0</v>
      </c>
      <c r="BN58" s="438" t="str">
        <f t="shared" si="85"/>
        <v/>
      </c>
      <c r="BO58" s="438">
        <f t="shared" si="75"/>
        <v>0</v>
      </c>
      <c r="BP58" s="438" t="str">
        <f t="shared" si="85"/>
        <v/>
      </c>
      <c r="BQ58" s="438">
        <f t="shared" si="76"/>
        <v>0</v>
      </c>
      <c r="BR58" s="438" t="str">
        <f t="shared" si="85"/>
        <v/>
      </c>
      <c r="BV58" s="439">
        <f t="shared" si="38"/>
        <v>8</v>
      </c>
      <c r="BW58" s="439">
        <f>IF(BV58=8,'JSM Jahresdauerlinie'!$E$26,E58)</f>
        <v>9.9999999999999995E-7</v>
      </c>
      <c r="BX58" s="439">
        <f t="shared" si="39"/>
        <v>8</v>
      </c>
      <c r="BY58" s="439">
        <f>IF(BX58=8,'JSM Jahresdauerlinie'!$E$26,G58)</f>
        <v>9.9999999999999995E-7</v>
      </c>
      <c r="BZ58" s="439">
        <f t="shared" si="40"/>
        <v>8</v>
      </c>
      <c r="CA58" s="439">
        <f>IF(BZ58=8,'JSM Jahresdauerlinie'!$E$26,I58)</f>
        <v>9.9999999999999995E-7</v>
      </c>
      <c r="CB58" s="439">
        <f t="shared" si="41"/>
        <v>8</v>
      </c>
      <c r="CC58" s="439">
        <f>IF(CB58=8,'JSM Jahresdauerlinie'!$E$26,K58)</f>
        <v>9.9999999999999995E-7</v>
      </c>
      <c r="CD58" s="439">
        <f t="shared" si="42"/>
        <v>8</v>
      </c>
      <c r="CE58" s="439">
        <f>IF(CD58=8,'JSM Jahresdauerlinie'!$E$26,M58)</f>
        <v>9.9999999999999995E-7</v>
      </c>
      <c r="CF58" s="439">
        <f t="shared" si="43"/>
        <v>8</v>
      </c>
      <c r="CG58" s="439">
        <f>IF(CF58=8,'JSM Jahresdauerlinie'!$E$26,O58)</f>
        <v>9.9999999999999995E-7</v>
      </c>
      <c r="CH58" s="439">
        <f t="shared" si="44"/>
        <v>8</v>
      </c>
      <c r="CI58" s="439">
        <f>IF(CH58=8,'JSM Jahresdauerlinie'!$E$26,Q58)</f>
        <v>9.9999999999999995E-7</v>
      </c>
      <c r="CJ58" s="439">
        <f t="shared" si="45"/>
        <v>8</v>
      </c>
      <c r="CK58" s="439">
        <f>IF(CJ58=8,'JSM Jahresdauerlinie'!$E$26,S58)</f>
        <v>9.9999999999999995E-7</v>
      </c>
      <c r="CL58" s="439">
        <f t="shared" si="46"/>
        <v>8</v>
      </c>
      <c r="CM58" s="439">
        <f>IF(CL58=8,'JSM Jahresdauerlinie'!$E$26,U58)</f>
        <v>9.9999999999999995E-7</v>
      </c>
      <c r="CN58" s="439">
        <f t="shared" si="47"/>
        <v>8</v>
      </c>
      <c r="CO58" s="439">
        <f>IF(CN58=8,'JSM Jahresdauerlinie'!$E$26,W58)</f>
        <v>9.9999999999999995E-7</v>
      </c>
      <c r="CP58" s="439">
        <f t="shared" si="48"/>
        <v>8</v>
      </c>
      <c r="CQ58" s="439">
        <f>IF(CP58=8,'JSM Jahresdauerlinie'!$E$26,Y58)</f>
        <v>9.9999999999999995E-7</v>
      </c>
      <c r="CR58" s="439">
        <f t="shared" si="49"/>
        <v>8</v>
      </c>
      <c r="CS58" s="439">
        <f>IF(CR58=8,'JSM Jahresdauerlinie'!$E$26,AA58)</f>
        <v>9.9999999999999995E-7</v>
      </c>
      <c r="CT58" s="440"/>
      <c r="CW58" s="435">
        <f>IF(D58=8,'JSM Jahresdauerlinie'!$E$26,IF(BW58=0," ",BW58))</f>
        <v>9.9999999999999995E-7</v>
      </c>
      <c r="CX58" s="435">
        <f>IF(F58=8,'JSM Jahresdauerlinie'!$E$26,IF(BY58=0," ",BY58))</f>
        <v>9.9999999999999995E-7</v>
      </c>
      <c r="CY58" s="435">
        <f>IF(H58=8,'JSM Jahresdauerlinie'!$E$26,IF(CA58=0," ",CA58))</f>
        <v>9.9999999999999995E-7</v>
      </c>
      <c r="CZ58" s="435">
        <f>IF(J58=8,'JSM Jahresdauerlinie'!$E$26,IF(CC58=0," ",CC58))</f>
        <v>9.9999999999999995E-7</v>
      </c>
      <c r="DA58" s="435">
        <f>IF(L58=8,'JSM Jahresdauerlinie'!$E$26,IF(CE58=0," ",CE58))</f>
        <v>9.9999999999999995E-7</v>
      </c>
      <c r="DB58" s="435">
        <f>IF(N58=8,'JSM Jahresdauerlinie'!$E$26,IF(CG58=0," ",CG58))</f>
        <v>9.9999999999999995E-7</v>
      </c>
      <c r="DC58" s="435">
        <f>IF(P58=8,'JSM Jahresdauerlinie'!$E$26,IF(CI58=0," ",CI58))</f>
        <v>9.9999999999999995E-7</v>
      </c>
      <c r="DD58" s="435">
        <f>IF(R58=8,'JSM Jahresdauerlinie'!$E$26,IF(CK58=0," ",CK58))</f>
        <v>9.9999999999999995E-7</v>
      </c>
      <c r="DE58" s="435">
        <f>IF(T58=8,'JSM Jahresdauerlinie'!$E$26,IF(CM58=0," ",CM58))</f>
        <v>9.9999999999999995E-7</v>
      </c>
      <c r="DF58" s="435">
        <f>IF(V58=8,'JSM Jahresdauerlinie'!$E$26,IF(CO58=0," ",CO58))</f>
        <v>9.9999999999999995E-7</v>
      </c>
      <c r="DG58" s="435">
        <f>IF(X58=8,'JSM Jahresdauerlinie'!$E$26,IF(CQ58=0," ",CQ58))</f>
        <v>9.9999999999999995E-7</v>
      </c>
      <c r="DH58" s="435">
        <f>IF(Z58=8,'JSM Jahresdauerlinie'!$E$26,IF(CS58=0," ",CS58))</f>
        <v>9.9999999999999995E-7</v>
      </c>
      <c r="DJ58" s="441">
        <f t="shared" si="50"/>
        <v>9.9999999999999995E-7</v>
      </c>
      <c r="DK58" s="441">
        <f t="shared" si="86"/>
        <v>9.9999999999999995E-7</v>
      </c>
      <c r="DL58" s="441">
        <f t="shared" si="87"/>
        <v>9.9999999999999995E-7</v>
      </c>
      <c r="DM58" s="441">
        <f t="shared" si="88"/>
        <v>9.9999999999999995E-7</v>
      </c>
      <c r="DN58" s="441">
        <f t="shared" si="89"/>
        <v>9.9999999999999995E-7</v>
      </c>
      <c r="DO58" s="441">
        <f t="shared" si="90"/>
        <v>9.9999999999999995E-7</v>
      </c>
      <c r="DP58" s="441">
        <f t="shared" si="91"/>
        <v>9.9999999999999995E-7</v>
      </c>
      <c r="DQ58" s="441">
        <f t="shared" si="92"/>
        <v>9.9999999999999995E-7</v>
      </c>
      <c r="DR58" s="441">
        <f t="shared" si="93"/>
        <v>9.9999999999999995E-7</v>
      </c>
      <c r="DS58" s="441">
        <f t="shared" si="94"/>
        <v>9.9999999999999995E-7</v>
      </c>
      <c r="DT58" s="441">
        <f t="shared" si="95"/>
        <v>9.9999999999999995E-7</v>
      </c>
      <c r="DU58" s="441">
        <f t="shared" si="96"/>
        <v>9.9999999999999995E-7</v>
      </c>
      <c r="DX58" s="435">
        <f t="shared" si="61"/>
        <v>8</v>
      </c>
      <c r="DY58" s="435">
        <f t="shared" si="24"/>
        <v>8</v>
      </c>
      <c r="DZ58" s="435">
        <f t="shared" si="25"/>
        <v>8</v>
      </c>
      <c r="EA58" s="435">
        <f t="shared" si="26"/>
        <v>8</v>
      </c>
      <c r="EB58" s="435">
        <f t="shared" si="27"/>
        <v>8</v>
      </c>
      <c r="EC58" s="435">
        <f t="shared" si="28"/>
        <v>8</v>
      </c>
      <c r="ED58" s="435">
        <f t="shared" si="62"/>
        <v>8</v>
      </c>
      <c r="EE58" s="435">
        <f t="shared" si="29"/>
        <v>8</v>
      </c>
      <c r="EF58" s="435">
        <f t="shared" si="30"/>
        <v>8</v>
      </c>
      <c r="EG58" s="435">
        <f t="shared" si="31"/>
        <v>8</v>
      </c>
      <c r="EH58" s="435">
        <f t="shared" si="32"/>
        <v>8</v>
      </c>
      <c r="EI58" s="435">
        <f t="shared" si="33"/>
        <v>8</v>
      </c>
      <c r="EK58" s="441" t="str">
        <f t="shared" si="63"/>
        <v xml:space="preserve"> </v>
      </c>
      <c r="EL58" s="441" t="str">
        <f t="shared" si="64"/>
        <v xml:space="preserve"> </v>
      </c>
      <c r="EM58" s="441" t="str">
        <f t="shared" si="63"/>
        <v xml:space="preserve"> </v>
      </c>
      <c r="EN58" s="441" t="str">
        <f t="shared" si="64"/>
        <v xml:space="preserve"> </v>
      </c>
      <c r="EO58" s="441" t="str">
        <f t="shared" si="63"/>
        <v xml:space="preserve"> </v>
      </c>
      <c r="EP58" s="441" t="str">
        <f t="shared" si="64"/>
        <v xml:space="preserve"> </v>
      </c>
      <c r="EQ58" s="441" t="str">
        <f t="shared" si="63"/>
        <v xml:space="preserve"> </v>
      </c>
      <c r="ER58" s="441" t="str">
        <f t="shared" si="64"/>
        <v xml:space="preserve"> </v>
      </c>
      <c r="ES58" s="441" t="str">
        <f t="shared" si="63"/>
        <v xml:space="preserve"> </v>
      </c>
      <c r="ET58" s="441" t="str">
        <f t="shared" si="64"/>
        <v xml:space="preserve"> </v>
      </c>
      <c r="EU58" s="441" t="str">
        <f t="shared" si="63"/>
        <v xml:space="preserve"> </v>
      </c>
      <c r="EV58" s="441" t="str">
        <f t="shared" si="64"/>
        <v xml:space="preserve"> </v>
      </c>
      <c r="EW58" s="441" t="str">
        <f t="shared" si="63"/>
        <v xml:space="preserve"> </v>
      </c>
      <c r="EX58" s="441" t="str">
        <f t="shared" si="64"/>
        <v xml:space="preserve"> </v>
      </c>
      <c r="EY58" s="441" t="str">
        <f t="shared" si="63"/>
        <v xml:space="preserve"> </v>
      </c>
      <c r="EZ58" s="441" t="str">
        <f t="shared" si="64"/>
        <v xml:space="preserve"> </v>
      </c>
      <c r="FA58" s="441" t="str">
        <f t="shared" si="97"/>
        <v xml:space="preserve"> </v>
      </c>
      <c r="FB58" s="441" t="str">
        <f t="shared" si="98"/>
        <v xml:space="preserve"> </v>
      </c>
      <c r="FC58" s="441" t="str">
        <f t="shared" si="97"/>
        <v xml:space="preserve"> </v>
      </c>
      <c r="FD58" s="441" t="str">
        <f t="shared" si="98"/>
        <v xml:space="preserve"> </v>
      </c>
      <c r="FE58" s="441" t="str">
        <f t="shared" si="97"/>
        <v xml:space="preserve"> </v>
      </c>
      <c r="FF58" s="441" t="str">
        <f t="shared" si="98"/>
        <v xml:space="preserve"> </v>
      </c>
      <c r="FG58" s="437" t="str">
        <f t="shared" si="97"/>
        <v xml:space="preserve"> </v>
      </c>
      <c r="FH58" s="441" t="str">
        <f t="shared" si="98"/>
        <v xml:space="preserve"> </v>
      </c>
    </row>
    <row r="59" spans="1:164" ht="14.25" x14ac:dyDescent="0.2">
      <c r="B59" s="210">
        <v>28</v>
      </c>
      <c r="D59" s="745"/>
      <c r="E59" s="740"/>
      <c r="F59" s="740"/>
      <c r="G59" s="740"/>
      <c r="H59" s="740"/>
      <c r="I59" s="740"/>
      <c r="J59" s="740"/>
      <c r="K59" s="740"/>
      <c r="L59" s="740"/>
      <c r="M59" s="740"/>
      <c r="N59" s="740"/>
      <c r="O59" s="740"/>
      <c r="P59" s="740"/>
      <c r="Q59" s="740"/>
      <c r="R59" s="740"/>
      <c r="S59" s="740"/>
      <c r="T59" s="740"/>
      <c r="U59" s="740"/>
      <c r="V59" s="740"/>
      <c r="W59" s="740"/>
      <c r="X59" s="747"/>
      <c r="Y59" s="740"/>
      <c r="Z59" s="740"/>
      <c r="AA59" s="740"/>
      <c r="AF59" s="413" t="str">
        <f t="shared" si="34"/>
        <v xml:space="preserve"> </v>
      </c>
      <c r="AG59" s="413" t="str">
        <f t="shared" si="78"/>
        <v xml:space="preserve"> </v>
      </c>
      <c r="AH59" s="413" t="str">
        <f t="shared" si="79"/>
        <v xml:space="preserve"> </v>
      </c>
      <c r="AI59" s="413" t="str">
        <f t="shared" si="80"/>
        <v xml:space="preserve"> </v>
      </c>
      <c r="AJ59" s="413" t="str">
        <f t="shared" si="81"/>
        <v xml:space="preserve"> </v>
      </c>
      <c r="AK59" s="413" t="str">
        <f t="shared" si="82"/>
        <v xml:space="preserve"> </v>
      </c>
      <c r="AL59" s="413" t="str">
        <f t="shared" si="83"/>
        <v xml:space="preserve"> </v>
      </c>
      <c r="AM59" s="413" t="str">
        <f t="shared" si="84"/>
        <v xml:space="preserve"> </v>
      </c>
      <c r="AN59" s="413" t="str">
        <f t="shared" si="7"/>
        <v xml:space="preserve"> </v>
      </c>
      <c r="AO59" s="413" t="str">
        <f t="shared" si="8"/>
        <v xml:space="preserve"> </v>
      </c>
      <c r="AP59" s="413" t="str">
        <f t="shared" si="9"/>
        <v xml:space="preserve"> </v>
      </c>
      <c r="AQ59" s="413" t="str">
        <f t="shared" si="10"/>
        <v xml:space="preserve"> </v>
      </c>
      <c r="AU59" s="438">
        <f t="shared" si="35"/>
        <v>0</v>
      </c>
      <c r="AV59" s="438" t="str">
        <f t="shared" si="36"/>
        <v/>
      </c>
      <c r="AW59" s="438">
        <f t="shared" si="77"/>
        <v>0</v>
      </c>
      <c r="AX59" s="438" t="str">
        <f t="shared" si="36"/>
        <v/>
      </c>
      <c r="AY59" s="438">
        <f t="shared" si="67"/>
        <v>0</v>
      </c>
      <c r="AZ59" s="438" t="str">
        <f t="shared" si="36"/>
        <v/>
      </c>
      <c r="BA59" s="438">
        <f t="shared" si="68"/>
        <v>0</v>
      </c>
      <c r="BB59" s="438" t="str">
        <f t="shared" si="36"/>
        <v/>
      </c>
      <c r="BC59" s="438">
        <f t="shared" si="69"/>
        <v>0</v>
      </c>
      <c r="BD59" s="438" t="str">
        <f t="shared" si="36"/>
        <v/>
      </c>
      <c r="BE59" s="438">
        <f t="shared" si="70"/>
        <v>0</v>
      </c>
      <c r="BF59" s="438" t="str">
        <f t="shared" si="36"/>
        <v/>
      </c>
      <c r="BG59" s="438">
        <f t="shared" si="71"/>
        <v>0</v>
      </c>
      <c r="BH59" s="438" t="str">
        <f t="shared" si="36"/>
        <v/>
      </c>
      <c r="BI59" s="438">
        <f t="shared" si="72"/>
        <v>0</v>
      </c>
      <c r="BJ59" s="438" t="str">
        <f t="shared" si="36"/>
        <v/>
      </c>
      <c r="BK59" s="438">
        <f t="shared" si="73"/>
        <v>0</v>
      </c>
      <c r="BL59" s="438" t="str">
        <f t="shared" si="85"/>
        <v/>
      </c>
      <c r="BM59" s="438">
        <f t="shared" si="74"/>
        <v>0</v>
      </c>
      <c r="BN59" s="438" t="str">
        <f t="shared" si="85"/>
        <v/>
      </c>
      <c r="BO59" s="438">
        <f t="shared" si="75"/>
        <v>0</v>
      </c>
      <c r="BP59" s="438" t="str">
        <f t="shared" si="85"/>
        <v/>
      </c>
      <c r="BQ59" s="438">
        <f t="shared" si="76"/>
        <v>0</v>
      </c>
      <c r="BR59" s="438" t="str">
        <f t="shared" si="85"/>
        <v/>
      </c>
      <c r="BV59" s="439">
        <f t="shared" si="38"/>
        <v>8</v>
      </c>
      <c r="BW59" s="439">
        <f>IF(BV59=8,'JSM Jahresdauerlinie'!$E$26,E59)</f>
        <v>9.9999999999999995E-7</v>
      </c>
      <c r="BX59" s="439">
        <f t="shared" si="39"/>
        <v>8</v>
      </c>
      <c r="BY59" s="439">
        <f>IF(BX59=8,'JSM Jahresdauerlinie'!$E$26,G59)</f>
        <v>9.9999999999999995E-7</v>
      </c>
      <c r="BZ59" s="439">
        <f t="shared" si="40"/>
        <v>8</v>
      </c>
      <c r="CA59" s="439">
        <f>IF(BZ59=8,'JSM Jahresdauerlinie'!$E$26,I59)</f>
        <v>9.9999999999999995E-7</v>
      </c>
      <c r="CB59" s="439">
        <f t="shared" si="41"/>
        <v>8</v>
      </c>
      <c r="CC59" s="439">
        <f>IF(CB59=8,'JSM Jahresdauerlinie'!$E$26,K59)</f>
        <v>9.9999999999999995E-7</v>
      </c>
      <c r="CD59" s="439">
        <f t="shared" si="42"/>
        <v>8</v>
      </c>
      <c r="CE59" s="439">
        <f>IF(CD59=8,'JSM Jahresdauerlinie'!$E$26,M59)</f>
        <v>9.9999999999999995E-7</v>
      </c>
      <c r="CF59" s="439">
        <f t="shared" si="43"/>
        <v>8</v>
      </c>
      <c r="CG59" s="439">
        <f>IF(CF59=8,'JSM Jahresdauerlinie'!$E$26,O59)</f>
        <v>9.9999999999999995E-7</v>
      </c>
      <c r="CH59" s="439">
        <f t="shared" si="44"/>
        <v>8</v>
      </c>
      <c r="CI59" s="439">
        <f>IF(CH59=8,'JSM Jahresdauerlinie'!$E$26,Q59)</f>
        <v>9.9999999999999995E-7</v>
      </c>
      <c r="CJ59" s="439">
        <f t="shared" si="45"/>
        <v>8</v>
      </c>
      <c r="CK59" s="439">
        <f>IF(CJ59=8,'JSM Jahresdauerlinie'!$E$26,S59)</f>
        <v>9.9999999999999995E-7</v>
      </c>
      <c r="CL59" s="439">
        <f t="shared" si="46"/>
        <v>8</v>
      </c>
      <c r="CM59" s="439">
        <f>IF(CL59=8,'JSM Jahresdauerlinie'!$E$26,U59)</f>
        <v>9.9999999999999995E-7</v>
      </c>
      <c r="CN59" s="439">
        <f t="shared" si="47"/>
        <v>8</v>
      </c>
      <c r="CO59" s="439">
        <f>IF(CN59=8,'JSM Jahresdauerlinie'!$E$26,W59)</f>
        <v>9.9999999999999995E-7</v>
      </c>
      <c r="CP59" s="439">
        <f t="shared" si="48"/>
        <v>8</v>
      </c>
      <c r="CQ59" s="439">
        <f>IF(CP59=8,'JSM Jahresdauerlinie'!$E$26,Y59)</f>
        <v>9.9999999999999995E-7</v>
      </c>
      <c r="CR59" s="439">
        <f t="shared" si="49"/>
        <v>8</v>
      </c>
      <c r="CS59" s="439">
        <f>IF(CR59=8,'JSM Jahresdauerlinie'!$E$26,AA59)</f>
        <v>9.9999999999999995E-7</v>
      </c>
      <c r="CT59" s="440"/>
      <c r="CW59" s="435">
        <f>IF(D59=8,'JSM Jahresdauerlinie'!$E$26,IF(BW59=0," ",BW59))</f>
        <v>9.9999999999999995E-7</v>
      </c>
      <c r="CX59" s="435">
        <f>IF(F59=8,'JSM Jahresdauerlinie'!$E$26,IF(BY59=0," ",BY59))</f>
        <v>9.9999999999999995E-7</v>
      </c>
      <c r="CY59" s="435">
        <f>IF(H59=8,'JSM Jahresdauerlinie'!$E$26,IF(CA59=0," ",CA59))</f>
        <v>9.9999999999999995E-7</v>
      </c>
      <c r="CZ59" s="435">
        <f>IF(J59=8,'JSM Jahresdauerlinie'!$E$26,IF(CC59=0," ",CC59))</f>
        <v>9.9999999999999995E-7</v>
      </c>
      <c r="DA59" s="435">
        <f>IF(L59=8,'JSM Jahresdauerlinie'!$E$26,IF(CE59=0," ",CE59))</f>
        <v>9.9999999999999995E-7</v>
      </c>
      <c r="DB59" s="435">
        <f>IF(N59=8,'JSM Jahresdauerlinie'!$E$26,IF(CG59=0," ",CG59))</f>
        <v>9.9999999999999995E-7</v>
      </c>
      <c r="DC59" s="435">
        <f>IF(P59=8,'JSM Jahresdauerlinie'!$E$26,IF(CI59=0," ",CI59))</f>
        <v>9.9999999999999995E-7</v>
      </c>
      <c r="DD59" s="435">
        <f>IF(R59=8,'JSM Jahresdauerlinie'!$E$26,IF(CK59=0," ",CK59))</f>
        <v>9.9999999999999995E-7</v>
      </c>
      <c r="DE59" s="435">
        <f>IF(T59=8,'JSM Jahresdauerlinie'!$E$26,IF(CM59=0," ",CM59))</f>
        <v>9.9999999999999995E-7</v>
      </c>
      <c r="DF59" s="435">
        <f>IF(V59=8,'JSM Jahresdauerlinie'!$E$26,IF(CO59=0," ",CO59))</f>
        <v>9.9999999999999995E-7</v>
      </c>
      <c r="DG59" s="435">
        <f>IF(X59=8,'JSM Jahresdauerlinie'!$E$26,IF(CQ59=0," ",CQ59))</f>
        <v>9.9999999999999995E-7</v>
      </c>
      <c r="DH59" s="435">
        <f>IF(Z59=8,'JSM Jahresdauerlinie'!$E$26,IF(CS59=0," ",CS59))</f>
        <v>9.9999999999999995E-7</v>
      </c>
      <c r="DJ59" s="441">
        <f t="shared" si="50"/>
        <v>9.9999999999999995E-7</v>
      </c>
      <c r="DK59" s="441">
        <f t="shared" si="86"/>
        <v>9.9999999999999995E-7</v>
      </c>
      <c r="DL59" s="441">
        <f t="shared" si="87"/>
        <v>9.9999999999999995E-7</v>
      </c>
      <c r="DM59" s="441">
        <f t="shared" si="88"/>
        <v>9.9999999999999995E-7</v>
      </c>
      <c r="DN59" s="441">
        <f t="shared" si="89"/>
        <v>9.9999999999999995E-7</v>
      </c>
      <c r="DO59" s="441">
        <f t="shared" si="90"/>
        <v>9.9999999999999995E-7</v>
      </c>
      <c r="DP59" s="441">
        <f t="shared" si="91"/>
        <v>9.9999999999999995E-7</v>
      </c>
      <c r="DQ59" s="441">
        <f t="shared" si="92"/>
        <v>9.9999999999999995E-7</v>
      </c>
      <c r="DR59" s="441">
        <f t="shared" si="93"/>
        <v>9.9999999999999995E-7</v>
      </c>
      <c r="DS59" s="441">
        <f t="shared" si="94"/>
        <v>9.9999999999999995E-7</v>
      </c>
      <c r="DT59" s="441">
        <f t="shared" si="95"/>
        <v>9.9999999999999995E-7</v>
      </c>
      <c r="DU59" s="441">
        <f t="shared" si="96"/>
        <v>9.9999999999999995E-7</v>
      </c>
      <c r="DX59" s="435">
        <f t="shared" si="61"/>
        <v>8</v>
      </c>
      <c r="DY59" s="435">
        <f t="shared" si="24"/>
        <v>8</v>
      </c>
      <c r="DZ59" s="435">
        <f t="shared" si="25"/>
        <v>8</v>
      </c>
      <c r="EA59" s="435">
        <f t="shared" si="26"/>
        <v>8</v>
      </c>
      <c r="EB59" s="435">
        <f t="shared" si="27"/>
        <v>8</v>
      </c>
      <c r="EC59" s="435">
        <f t="shared" si="28"/>
        <v>8</v>
      </c>
      <c r="ED59" s="435">
        <f t="shared" si="62"/>
        <v>8</v>
      </c>
      <c r="EE59" s="435">
        <f t="shared" si="29"/>
        <v>8</v>
      </c>
      <c r="EF59" s="435">
        <f t="shared" si="30"/>
        <v>8</v>
      </c>
      <c r="EG59" s="435">
        <f t="shared" si="31"/>
        <v>8</v>
      </c>
      <c r="EH59" s="435">
        <f t="shared" si="32"/>
        <v>8</v>
      </c>
      <c r="EI59" s="435">
        <f t="shared" si="33"/>
        <v>8</v>
      </c>
      <c r="EK59" s="441" t="str">
        <f t="shared" si="63"/>
        <v xml:space="preserve"> </v>
      </c>
      <c r="EL59" s="441" t="str">
        <f t="shared" si="64"/>
        <v xml:space="preserve"> </v>
      </c>
      <c r="EM59" s="441" t="str">
        <f t="shared" si="63"/>
        <v xml:space="preserve"> </v>
      </c>
      <c r="EN59" s="441" t="str">
        <f t="shared" si="64"/>
        <v xml:space="preserve"> </v>
      </c>
      <c r="EO59" s="441" t="str">
        <f t="shared" si="63"/>
        <v xml:space="preserve"> </v>
      </c>
      <c r="EP59" s="441" t="str">
        <f t="shared" si="64"/>
        <v xml:space="preserve"> </v>
      </c>
      <c r="EQ59" s="441" t="str">
        <f t="shared" si="63"/>
        <v xml:space="preserve"> </v>
      </c>
      <c r="ER59" s="441" t="str">
        <f t="shared" si="64"/>
        <v xml:space="preserve"> </v>
      </c>
      <c r="ES59" s="441" t="str">
        <f t="shared" si="63"/>
        <v xml:space="preserve"> </v>
      </c>
      <c r="ET59" s="441" t="str">
        <f t="shared" si="64"/>
        <v xml:space="preserve"> </v>
      </c>
      <c r="EU59" s="441" t="str">
        <f t="shared" si="63"/>
        <v xml:space="preserve"> </v>
      </c>
      <c r="EV59" s="441" t="str">
        <f t="shared" si="64"/>
        <v xml:space="preserve"> </v>
      </c>
      <c r="EW59" s="441" t="str">
        <f t="shared" si="63"/>
        <v xml:space="preserve"> </v>
      </c>
      <c r="EX59" s="441" t="str">
        <f t="shared" si="64"/>
        <v xml:space="preserve"> </v>
      </c>
      <c r="EY59" s="441" t="str">
        <f t="shared" si="63"/>
        <v xml:space="preserve"> </v>
      </c>
      <c r="EZ59" s="441" t="str">
        <f t="shared" si="64"/>
        <v xml:space="preserve"> </v>
      </c>
      <c r="FA59" s="441" t="str">
        <f t="shared" si="97"/>
        <v xml:space="preserve"> </v>
      </c>
      <c r="FB59" s="441" t="str">
        <f t="shared" si="98"/>
        <v xml:space="preserve"> </v>
      </c>
      <c r="FC59" s="441" t="str">
        <f t="shared" si="97"/>
        <v xml:space="preserve"> </v>
      </c>
      <c r="FD59" s="441" t="str">
        <f t="shared" si="98"/>
        <v xml:space="preserve"> </v>
      </c>
      <c r="FE59" s="441" t="str">
        <f t="shared" si="97"/>
        <v xml:space="preserve"> </v>
      </c>
      <c r="FF59" s="441" t="str">
        <f t="shared" si="98"/>
        <v xml:space="preserve"> </v>
      </c>
      <c r="FG59" s="437" t="str">
        <f t="shared" si="97"/>
        <v xml:space="preserve"> </v>
      </c>
      <c r="FH59" s="441" t="str">
        <f t="shared" si="98"/>
        <v xml:space="preserve"> </v>
      </c>
    </row>
    <row r="60" spans="1:164" ht="14.25" x14ac:dyDescent="0.2">
      <c r="B60" s="210">
        <v>29</v>
      </c>
      <c r="D60" s="745"/>
      <c r="E60" s="740"/>
      <c r="F60" s="743"/>
      <c r="G60" s="744"/>
      <c r="H60" s="740"/>
      <c r="I60" s="740"/>
      <c r="J60" s="740"/>
      <c r="K60" s="740"/>
      <c r="L60" s="740"/>
      <c r="M60" s="740"/>
      <c r="N60" s="745"/>
      <c r="O60" s="740"/>
      <c r="P60" s="740"/>
      <c r="Q60" s="740"/>
      <c r="R60" s="740"/>
      <c r="S60" s="740"/>
      <c r="T60" s="740"/>
      <c r="U60" s="740"/>
      <c r="V60" s="740"/>
      <c r="W60" s="740"/>
      <c r="X60" s="741"/>
      <c r="Y60" s="740"/>
      <c r="Z60" s="740"/>
      <c r="AA60" s="740"/>
      <c r="AF60" s="413" t="str">
        <f t="shared" si="34"/>
        <v xml:space="preserve"> </v>
      </c>
      <c r="AG60" s="413" t="str">
        <f t="shared" si="78"/>
        <v xml:space="preserve"> </v>
      </c>
      <c r="AH60" s="413" t="str">
        <f t="shared" si="79"/>
        <v xml:space="preserve"> </v>
      </c>
      <c r="AI60" s="413" t="str">
        <f t="shared" si="80"/>
        <v xml:space="preserve"> </v>
      </c>
      <c r="AJ60" s="413" t="str">
        <f t="shared" si="81"/>
        <v xml:space="preserve"> </v>
      </c>
      <c r="AK60" s="413" t="str">
        <f t="shared" si="82"/>
        <v xml:space="preserve"> </v>
      </c>
      <c r="AL60" s="413" t="str">
        <f t="shared" si="83"/>
        <v xml:space="preserve"> </v>
      </c>
      <c r="AM60" s="413" t="str">
        <f t="shared" si="84"/>
        <v xml:space="preserve"> </v>
      </c>
      <c r="AN60" s="413" t="str">
        <f t="shared" si="7"/>
        <v xml:space="preserve"> </v>
      </c>
      <c r="AO60" s="413" t="str">
        <f t="shared" si="8"/>
        <v xml:space="preserve"> </v>
      </c>
      <c r="AP60" s="413" t="str">
        <f t="shared" si="9"/>
        <v xml:space="preserve"> </v>
      </c>
      <c r="AQ60" s="413" t="str">
        <f t="shared" si="10"/>
        <v xml:space="preserve"> </v>
      </c>
      <c r="AU60" s="438">
        <f t="shared" si="35"/>
        <v>0</v>
      </c>
      <c r="AV60" s="438" t="str">
        <f t="shared" si="36"/>
        <v/>
      </c>
      <c r="AW60" s="438">
        <f t="shared" si="77"/>
        <v>0</v>
      </c>
      <c r="AX60" s="438" t="str">
        <f t="shared" si="36"/>
        <v/>
      </c>
      <c r="AY60" s="438">
        <f t="shared" si="67"/>
        <v>0</v>
      </c>
      <c r="AZ60" s="438" t="str">
        <f t="shared" si="36"/>
        <v/>
      </c>
      <c r="BA60" s="438">
        <f t="shared" si="68"/>
        <v>0</v>
      </c>
      <c r="BB60" s="438" t="str">
        <f t="shared" si="36"/>
        <v/>
      </c>
      <c r="BC60" s="438">
        <f t="shared" si="69"/>
        <v>0</v>
      </c>
      <c r="BD60" s="438" t="str">
        <f t="shared" si="36"/>
        <v/>
      </c>
      <c r="BE60" s="438">
        <f t="shared" si="70"/>
        <v>0</v>
      </c>
      <c r="BF60" s="438" t="str">
        <f t="shared" si="36"/>
        <v/>
      </c>
      <c r="BG60" s="438">
        <f t="shared" si="71"/>
        <v>0</v>
      </c>
      <c r="BH60" s="438" t="str">
        <f t="shared" si="36"/>
        <v/>
      </c>
      <c r="BI60" s="438">
        <f t="shared" si="72"/>
        <v>0</v>
      </c>
      <c r="BJ60" s="438" t="str">
        <f t="shared" si="36"/>
        <v/>
      </c>
      <c r="BK60" s="438">
        <f t="shared" si="73"/>
        <v>0</v>
      </c>
      <c r="BL60" s="438" t="str">
        <f t="shared" si="85"/>
        <v/>
      </c>
      <c r="BM60" s="438">
        <f t="shared" si="74"/>
        <v>0</v>
      </c>
      <c r="BN60" s="438" t="str">
        <f t="shared" si="85"/>
        <v/>
      </c>
      <c r="BO60" s="438">
        <f t="shared" si="75"/>
        <v>0</v>
      </c>
      <c r="BP60" s="438" t="str">
        <f t="shared" si="85"/>
        <v/>
      </c>
      <c r="BQ60" s="438">
        <f t="shared" si="76"/>
        <v>0</v>
      </c>
      <c r="BR60" s="438" t="str">
        <f t="shared" si="85"/>
        <v/>
      </c>
      <c r="BV60" s="439">
        <f t="shared" si="38"/>
        <v>8</v>
      </c>
      <c r="BW60" s="439">
        <f>IF(BV60=8,'JSM Jahresdauerlinie'!$E$26,E60)</f>
        <v>9.9999999999999995E-7</v>
      </c>
      <c r="BX60" s="439"/>
      <c r="BY60" s="439" t="s">
        <v>3</v>
      </c>
      <c r="BZ60" s="439">
        <f t="shared" si="40"/>
        <v>8</v>
      </c>
      <c r="CA60" s="439">
        <f>IF(BZ60=8,'JSM Jahresdauerlinie'!$E$26,I60)</f>
        <v>9.9999999999999995E-7</v>
      </c>
      <c r="CB60" s="439">
        <f t="shared" si="41"/>
        <v>8</v>
      </c>
      <c r="CC60" s="439">
        <f>IF(CB60=8,'JSM Jahresdauerlinie'!$E$26,K60)</f>
        <v>9.9999999999999995E-7</v>
      </c>
      <c r="CD60" s="439">
        <f t="shared" si="42"/>
        <v>8</v>
      </c>
      <c r="CE60" s="439">
        <f>IF(CD60=8,'JSM Jahresdauerlinie'!$E$26,M60)</f>
        <v>9.9999999999999995E-7</v>
      </c>
      <c r="CF60" s="439">
        <f t="shared" si="43"/>
        <v>8</v>
      </c>
      <c r="CG60" s="439">
        <f>IF(CF60=8,'JSM Jahresdauerlinie'!$E$26,O60)</f>
        <v>9.9999999999999995E-7</v>
      </c>
      <c r="CH60" s="439">
        <f t="shared" si="44"/>
        <v>8</v>
      </c>
      <c r="CI60" s="439">
        <f>IF(CH60=8,'JSM Jahresdauerlinie'!$E$26,Q60)</f>
        <v>9.9999999999999995E-7</v>
      </c>
      <c r="CJ60" s="439">
        <f t="shared" si="45"/>
        <v>8</v>
      </c>
      <c r="CK60" s="439">
        <f>IF(CJ60=8,'JSM Jahresdauerlinie'!$E$26,S60)</f>
        <v>9.9999999999999995E-7</v>
      </c>
      <c r="CL60" s="439">
        <f t="shared" si="46"/>
        <v>8</v>
      </c>
      <c r="CM60" s="439">
        <f>IF(CL60=8,'JSM Jahresdauerlinie'!$E$26,U60)</f>
        <v>9.9999999999999995E-7</v>
      </c>
      <c r="CN60" s="439">
        <f t="shared" si="47"/>
        <v>8</v>
      </c>
      <c r="CO60" s="439">
        <f>IF(CN60=8,'JSM Jahresdauerlinie'!$E$26,W60)</f>
        <v>9.9999999999999995E-7</v>
      </c>
      <c r="CP60" s="439">
        <f t="shared" si="48"/>
        <v>8</v>
      </c>
      <c r="CQ60" s="439">
        <f>IF(CP60=8,'JSM Jahresdauerlinie'!$E$26,Y60)</f>
        <v>9.9999999999999995E-7</v>
      </c>
      <c r="CR60" s="439">
        <f t="shared" si="49"/>
        <v>8</v>
      </c>
      <c r="CS60" s="439">
        <f>IF(CR60=8,'JSM Jahresdauerlinie'!$E$26,AA60)</f>
        <v>9.9999999999999995E-7</v>
      </c>
      <c r="CT60" s="440"/>
      <c r="CW60" s="435">
        <f>IF(D60=8,'JSM Jahresdauerlinie'!$E$26,IF(BW60=0," ",BW60))</f>
        <v>9.9999999999999995E-7</v>
      </c>
      <c r="CX60" s="435" t="str">
        <f>IF(F60=8,$Q$102,IF(BY60=0," ",BY60))</f>
        <v xml:space="preserve"> </v>
      </c>
      <c r="CY60" s="435">
        <f>IF(H60=8,'JSM Jahresdauerlinie'!$E$26,IF(CA60=0," ",CA60))</f>
        <v>9.9999999999999995E-7</v>
      </c>
      <c r="CZ60" s="435">
        <f>IF(J60=8,'JSM Jahresdauerlinie'!$E$26,IF(CC60=0," ",CC60))</f>
        <v>9.9999999999999995E-7</v>
      </c>
      <c r="DA60" s="435">
        <f>IF(L60=8,'JSM Jahresdauerlinie'!$E$26,IF(CE60=0," ",CE60))</f>
        <v>9.9999999999999995E-7</v>
      </c>
      <c r="DB60" s="435">
        <f>IF(N60=8,'JSM Jahresdauerlinie'!$E$26,IF(CG60=0," ",CG60))</f>
        <v>9.9999999999999995E-7</v>
      </c>
      <c r="DC60" s="435">
        <f>IF(P60=8,'JSM Jahresdauerlinie'!$E$26,IF(CI60=0," ",CI60))</f>
        <v>9.9999999999999995E-7</v>
      </c>
      <c r="DD60" s="435">
        <f>IF(R60=8,'JSM Jahresdauerlinie'!$E$26,IF(CK60=0," ",CK60))</f>
        <v>9.9999999999999995E-7</v>
      </c>
      <c r="DE60" s="435">
        <f>IF(T60=8,'JSM Jahresdauerlinie'!$E$26,IF(CM60=0," ",CM60))</f>
        <v>9.9999999999999995E-7</v>
      </c>
      <c r="DF60" s="435">
        <f>IF(V60=8,'JSM Jahresdauerlinie'!$E$26,IF(CO60=0," ",CO60))</f>
        <v>9.9999999999999995E-7</v>
      </c>
      <c r="DG60" s="435">
        <f>IF(X60=8,'JSM Jahresdauerlinie'!$E$26,IF(CQ60=0," ",CQ60))</f>
        <v>9.9999999999999995E-7</v>
      </c>
      <c r="DH60" s="435">
        <f>IF(Z60=8,'JSM Jahresdauerlinie'!$E$26,IF(CS60=0," ",CS60))</f>
        <v>9.9999999999999995E-7</v>
      </c>
      <c r="DJ60" s="441">
        <f t="shared" si="50"/>
        <v>9.9999999999999995E-7</v>
      </c>
      <c r="DK60" s="441" t="s">
        <v>3</v>
      </c>
      <c r="DL60" s="441">
        <f t="shared" si="87"/>
        <v>9.9999999999999995E-7</v>
      </c>
      <c r="DM60" s="441">
        <f t="shared" si="88"/>
        <v>9.9999999999999995E-7</v>
      </c>
      <c r="DN60" s="441">
        <f t="shared" si="89"/>
        <v>9.9999999999999995E-7</v>
      </c>
      <c r="DO60" s="441">
        <f t="shared" si="90"/>
        <v>9.9999999999999995E-7</v>
      </c>
      <c r="DP60" s="441">
        <f t="shared" si="91"/>
        <v>9.9999999999999995E-7</v>
      </c>
      <c r="DQ60" s="441">
        <f t="shared" si="92"/>
        <v>9.9999999999999995E-7</v>
      </c>
      <c r="DR60" s="441">
        <f t="shared" si="93"/>
        <v>9.9999999999999995E-7</v>
      </c>
      <c r="DS60" s="441">
        <f t="shared" si="94"/>
        <v>9.9999999999999995E-7</v>
      </c>
      <c r="DT60" s="441">
        <f t="shared" si="95"/>
        <v>9.9999999999999995E-7</v>
      </c>
      <c r="DU60" s="441">
        <f t="shared" si="96"/>
        <v>9.9999999999999995E-7</v>
      </c>
      <c r="DX60" s="435">
        <f t="shared" si="61"/>
        <v>8</v>
      </c>
      <c r="DY60" s="435">
        <f t="shared" si="24"/>
        <v>0</v>
      </c>
      <c r="DZ60" s="435">
        <f t="shared" si="25"/>
        <v>8</v>
      </c>
      <c r="EA60" s="435">
        <f t="shared" si="26"/>
        <v>8</v>
      </c>
      <c r="EB60" s="435">
        <f t="shared" si="27"/>
        <v>8</v>
      </c>
      <c r="EC60" s="435">
        <f t="shared" si="28"/>
        <v>8</v>
      </c>
      <c r="ED60" s="435">
        <f t="shared" si="62"/>
        <v>8</v>
      </c>
      <c r="EE60" s="435">
        <f t="shared" si="29"/>
        <v>8</v>
      </c>
      <c r="EF60" s="435">
        <f t="shared" si="30"/>
        <v>8</v>
      </c>
      <c r="EG60" s="435">
        <f t="shared" si="31"/>
        <v>8</v>
      </c>
      <c r="EH60" s="435">
        <f t="shared" si="32"/>
        <v>8</v>
      </c>
      <c r="EI60" s="435">
        <f t="shared" si="33"/>
        <v>8</v>
      </c>
      <c r="EK60" s="441" t="str">
        <f t="shared" si="63"/>
        <v xml:space="preserve"> </v>
      </c>
      <c r="EL60" s="441" t="str">
        <f t="shared" si="64"/>
        <v xml:space="preserve"> </v>
      </c>
      <c r="EM60" s="441" t="str">
        <f t="shared" si="63"/>
        <v xml:space="preserve"> </v>
      </c>
      <c r="EN60" s="441" t="str">
        <f t="shared" si="64"/>
        <v xml:space="preserve"> </v>
      </c>
      <c r="EO60" s="441" t="str">
        <f t="shared" si="63"/>
        <v xml:space="preserve"> </v>
      </c>
      <c r="EP60" s="441" t="str">
        <f t="shared" si="64"/>
        <v xml:space="preserve"> </v>
      </c>
      <c r="EQ60" s="441" t="str">
        <f t="shared" si="63"/>
        <v xml:space="preserve"> </v>
      </c>
      <c r="ER60" s="441" t="str">
        <f t="shared" si="64"/>
        <v xml:space="preserve"> </v>
      </c>
      <c r="ES60" s="441" t="str">
        <f t="shared" si="63"/>
        <v xml:space="preserve"> </v>
      </c>
      <c r="ET60" s="441" t="str">
        <f t="shared" si="64"/>
        <v xml:space="preserve"> </v>
      </c>
      <c r="EU60" s="441" t="str">
        <f t="shared" si="63"/>
        <v xml:space="preserve"> </v>
      </c>
      <c r="EV60" s="441" t="str">
        <f t="shared" si="64"/>
        <v xml:space="preserve"> </v>
      </c>
      <c r="EW60" s="441" t="str">
        <f t="shared" si="63"/>
        <v xml:space="preserve"> </v>
      </c>
      <c r="EX60" s="441" t="str">
        <f t="shared" si="64"/>
        <v xml:space="preserve"> </v>
      </c>
      <c r="EY60" s="441" t="str">
        <f t="shared" si="63"/>
        <v xml:space="preserve"> </v>
      </c>
      <c r="EZ60" s="441" t="str">
        <f t="shared" si="64"/>
        <v xml:space="preserve"> </v>
      </c>
      <c r="FA60" s="441" t="str">
        <f t="shared" si="97"/>
        <v xml:space="preserve"> </v>
      </c>
      <c r="FB60" s="441" t="str">
        <f t="shared" si="98"/>
        <v xml:space="preserve"> </v>
      </c>
      <c r="FC60" s="441" t="str">
        <f t="shared" si="97"/>
        <v xml:space="preserve"> </v>
      </c>
      <c r="FD60" s="441" t="str">
        <f t="shared" si="98"/>
        <v xml:space="preserve"> </v>
      </c>
      <c r="FE60" s="441" t="str">
        <f t="shared" si="97"/>
        <v xml:space="preserve"> </v>
      </c>
      <c r="FF60" s="441" t="str">
        <f t="shared" si="98"/>
        <v xml:space="preserve"> </v>
      </c>
      <c r="FG60" s="437" t="str">
        <f t="shared" si="97"/>
        <v xml:space="preserve"> </v>
      </c>
      <c r="FH60" s="441" t="str">
        <f t="shared" si="98"/>
        <v xml:space="preserve"> </v>
      </c>
    </row>
    <row r="61" spans="1:164" ht="14.25" x14ac:dyDescent="0.2">
      <c r="B61" s="210">
        <v>30</v>
      </c>
      <c r="D61" s="745"/>
      <c r="E61" s="740"/>
      <c r="F61" s="743"/>
      <c r="G61" s="743"/>
      <c r="H61" s="740"/>
      <c r="I61" s="740"/>
      <c r="J61" s="740"/>
      <c r="K61" s="740"/>
      <c r="L61" s="740"/>
      <c r="M61" s="740"/>
      <c r="N61" s="740"/>
      <c r="O61" s="740"/>
      <c r="P61" s="740"/>
      <c r="Q61" s="740"/>
      <c r="R61" s="740"/>
      <c r="S61" s="740"/>
      <c r="T61" s="740"/>
      <c r="U61" s="740"/>
      <c r="V61" s="740"/>
      <c r="W61" s="740"/>
      <c r="X61" s="741"/>
      <c r="Y61" s="740"/>
      <c r="Z61" s="740"/>
      <c r="AA61" s="740"/>
      <c r="AF61" s="413" t="str">
        <f t="shared" si="34"/>
        <v xml:space="preserve"> </v>
      </c>
      <c r="AG61" s="413" t="s">
        <v>3</v>
      </c>
      <c r="AH61" s="413" t="str">
        <f t="shared" si="79"/>
        <v xml:space="preserve"> </v>
      </c>
      <c r="AI61" s="413" t="str">
        <f t="shared" si="80"/>
        <v xml:space="preserve"> </v>
      </c>
      <c r="AJ61" s="413" t="str">
        <f t="shared" si="81"/>
        <v xml:space="preserve"> </v>
      </c>
      <c r="AK61" s="413" t="str">
        <f t="shared" si="82"/>
        <v xml:space="preserve"> </v>
      </c>
      <c r="AL61" s="413" t="str">
        <f t="shared" si="83"/>
        <v xml:space="preserve"> </v>
      </c>
      <c r="AM61" s="413" t="str">
        <f t="shared" si="84"/>
        <v xml:space="preserve"> </v>
      </c>
      <c r="AN61" s="413" t="str">
        <f t="shared" si="7"/>
        <v xml:space="preserve"> </v>
      </c>
      <c r="AO61" s="413" t="str">
        <f t="shared" si="8"/>
        <v xml:space="preserve"> </v>
      </c>
      <c r="AP61" s="413" t="str">
        <f t="shared" si="9"/>
        <v xml:space="preserve"> </v>
      </c>
      <c r="AQ61" s="413" t="str">
        <f t="shared" si="10"/>
        <v xml:space="preserve"> </v>
      </c>
      <c r="AU61" s="438">
        <f t="shared" si="35"/>
        <v>0</v>
      </c>
      <c r="AV61" s="438" t="str">
        <f t="shared" si="36"/>
        <v/>
      </c>
      <c r="AW61" s="438">
        <f t="shared" si="77"/>
        <v>0</v>
      </c>
      <c r="AX61" s="438" t="str">
        <f t="shared" si="36"/>
        <v/>
      </c>
      <c r="AY61" s="438">
        <f t="shared" si="67"/>
        <v>0</v>
      </c>
      <c r="AZ61" s="438" t="str">
        <f t="shared" si="36"/>
        <v/>
      </c>
      <c r="BA61" s="438">
        <f t="shared" si="68"/>
        <v>0</v>
      </c>
      <c r="BB61" s="438" t="str">
        <f t="shared" si="36"/>
        <v/>
      </c>
      <c r="BC61" s="438">
        <f t="shared" si="69"/>
        <v>0</v>
      </c>
      <c r="BD61" s="438" t="str">
        <f t="shared" si="36"/>
        <v/>
      </c>
      <c r="BE61" s="438">
        <f t="shared" si="70"/>
        <v>0</v>
      </c>
      <c r="BF61" s="438" t="str">
        <f t="shared" si="36"/>
        <v/>
      </c>
      <c r="BG61" s="438">
        <f t="shared" si="71"/>
        <v>0</v>
      </c>
      <c r="BH61" s="438" t="str">
        <f t="shared" si="36"/>
        <v/>
      </c>
      <c r="BI61" s="438">
        <f t="shared" si="72"/>
        <v>0</v>
      </c>
      <c r="BJ61" s="438" t="str">
        <f t="shared" si="36"/>
        <v/>
      </c>
      <c r="BK61" s="438">
        <f t="shared" si="73"/>
        <v>0</v>
      </c>
      <c r="BL61" s="438" t="str">
        <f t="shared" si="85"/>
        <v/>
      </c>
      <c r="BM61" s="438">
        <f t="shared" si="74"/>
        <v>0</v>
      </c>
      <c r="BN61" s="438" t="str">
        <f t="shared" si="85"/>
        <v/>
      </c>
      <c r="BO61" s="438">
        <f t="shared" si="75"/>
        <v>0</v>
      </c>
      <c r="BP61" s="438" t="str">
        <f t="shared" si="85"/>
        <v/>
      </c>
      <c r="BQ61" s="438">
        <f t="shared" si="76"/>
        <v>0</v>
      </c>
      <c r="BR61" s="438" t="str">
        <f t="shared" si="85"/>
        <v/>
      </c>
      <c r="BV61" s="439">
        <f t="shared" si="38"/>
        <v>8</v>
      </c>
      <c r="BW61" s="439">
        <f>IF(BV61=8,'JSM Jahresdauerlinie'!$E$26,E61)</f>
        <v>9.9999999999999995E-7</v>
      </c>
      <c r="BX61" s="439"/>
      <c r="BY61" s="439" t="s">
        <v>3</v>
      </c>
      <c r="BZ61" s="439">
        <f t="shared" si="40"/>
        <v>8</v>
      </c>
      <c r="CA61" s="439">
        <f>IF(BZ61=8,'JSM Jahresdauerlinie'!$E$26,I61)</f>
        <v>9.9999999999999995E-7</v>
      </c>
      <c r="CB61" s="439">
        <f t="shared" si="41"/>
        <v>8</v>
      </c>
      <c r="CC61" s="439">
        <f>IF(CB61=8,'JSM Jahresdauerlinie'!$E$26,K61)</f>
        <v>9.9999999999999995E-7</v>
      </c>
      <c r="CD61" s="439">
        <f t="shared" si="42"/>
        <v>8</v>
      </c>
      <c r="CE61" s="439">
        <f>IF(CD61=8,'JSM Jahresdauerlinie'!$E$26,M61)</f>
        <v>9.9999999999999995E-7</v>
      </c>
      <c r="CF61" s="439">
        <f t="shared" si="43"/>
        <v>8</v>
      </c>
      <c r="CG61" s="439">
        <f>IF(CF61=8,'JSM Jahresdauerlinie'!$E$26,O61)</f>
        <v>9.9999999999999995E-7</v>
      </c>
      <c r="CH61" s="439">
        <f t="shared" si="44"/>
        <v>8</v>
      </c>
      <c r="CI61" s="439">
        <f>IF(CH61=8,'JSM Jahresdauerlinie'!$E$26,Q61)</f>
        <v>9.9999999999999995E-7</v>
      </c>
      <c r="CJ61" s="439">
        <f t="shared" si="45"/>
        <v>8</v>
      </c>
      <c r="CK61" s="439">
        <f>IF(CJ61=8,'JSM Jahresdauerlinie'!$E$26,S61)</f>
        <v>9.9999999999999995E-7</v>
      </c>
      <c r="CL61" s="439">
        <f t="shared" si="46"/>
        <v>8</v>
      </c>
      <c r="CM61" s="439">
        <f>IF(CL61=8,'JSM Jahresdauerlinie'!$E$26,U61)</f>
        <v>9.9999999999999995E-7</v>
      </c>
      <c r="CN61" s="439">
        <f t="shared" si="47"/>
        <v>8</v>
      </c>
      <c r="CO61" s="439">
        <f>IF(CN61=8,'JSM Jahresdauerlinie'!$E$26,W61)</f>
        <v>9.9999999999999995E-7</v>
      </c>
      <c r="CP61" s="439">
        <f t="shared" si="48"/>
        <v>8</v>
      </c>
      <c r="CQ61" s="439">
        <f>IF(CP61=8,'JSM Jahresdauerlinie'!$E$26,Y61)</f>
        <v>9.9999999999999995E-7</v>
      </c>
      <c r="CR61" s="439">
        <f t="shared" si="49"/>
        <v>8</v>
      </c>
      <c r="CS61" s="439">
        <f>IF(CR61=8,'JSM Jahresdauerlinie'!$E$26,AA61)</f>
        <v>9.9999999999999995E-7</v>
      </c>
      <c r="CT61" s="440"/>
      <c r="CW61" s="435">
        <f>IF(D61=8,'JSM Jahresdauerlinie'!$E$26,IF(BW61=0," ",BW61))</f>
        <v>9.9999999999999995E-7</v>
      </c>
      <c r="CX61" s="435" t="str">
        <f>IF(F61=8,$Q$102,IF(BY61=0," ",BY61))</f>
        <v xml:space="preserve"> </v>
      </c>
      <c r="CY61" s="435">
        <f>IF(H61=8,'JSM Jahresdauerlinie'!$E$26,IF(CA61=0," ",CA61))</f>
        <v>9.9999999999999995E-7</v>
      </c>
      <c r="CZ61" s="435">
        <f>IF(J61=8,'JSM Jahresdauerlinie'!$E$26,IF(CC61=0," ",CC61))</f>
        <v>9.9999999999999995E-7</v>
      </c>
      <c r="DA61" s="435">
        <f>IF(L61=8,'JSM Jahresdauerlinie'!$E$26,IF(CE61=0," ",CE61))</f>
        <v>9.9999999999999995E-7</v>
      </c>
      <c r="DB61" s="435">
        <f>IF(N61=8,'JSM Jahresdauerlinie'!$E$26,IF(CG61=0," ",CG61))</f>
        <v>9.9999999999999995E-7</v>
      </c>
      <c r="DC61" s="435">
        <f>IF(P61=8,'JSM Jahresdauerlinie'!$E$26,IF(CI61=0," ",CI61))</f>
        <v>9.9999999999999995E-7</v>
      </c>
      <c r="DD61" s="435">
        <f>IF(R61=8,'JSM Jahresdauerlinie'!$E$26,IF(CK61=0," ",CK61))</f>
        <v>9.9999999999999995E-7</v>
      </c>
      <c r="DE61" s="435">
        <f>IF(T61=8,'JSM Jahresdauerlinie'!$E$26,IF(CM61=0," ",CM61))</f>
        <v>9.9999999999999995E-7</v>
      </c>
      <c r="DF61" s="435">
        <f>IF(V61=8,'JSM Jahresdauerlinie'!$E$26,IF(CO61=0," ",CO61))</f>
        <v>9.9999999999999995E-7</v>
      </c>
      <c r="DG61" s="435">
        <f>IF(X61=8,'JSM Jahresdauerlinie'!$E$26,IF(CQ61=0," ",CQ61))</f>
        <v>9.9999999999999995E-7</v>
      </c>
      <c r="DH61" s="435">
        <f>IF(Z61=8,'JSM Jahresdauerlinie'!$E$26,IF(CS61=0," ",CS61))</f>
        <v>9.9999999999999995E-7</v>
      </c>
      <c r="DJ61" s="441">
        <f t="shared" si="50"/>
        <v>9.9999999999999995E-7</v>
      </c>
      <c r="DK61" s="441" t="s">
        <v>3</v>
      </c>
      <c r="DL61" s="441">
        <f t="shared" si="87"/>
        <v>9.9999999999999995E-7</v>
      </c>
      <c r="DM61" s="441">
        <f t="shared" si="88"/>
        <v>9.9999999999999995E-7</v>
      </c>
      <c r="DN61" s="441">
        <f t="shared" si="89"/>
        <v>9.9999999999999995E-7</v>
      </c>
      <c r="DO61" s="441">
        <f t="shared" si="90"/>
        <v>9.9999999999999995E-7</v>
      </c>
      <c r="DP61" s="441">
        <f t="shared" si="91"/>
        <v>9.9999999999999995E-7</v>
      </c>
      <c r="DQ61" s="441">
        <f t="shared" si="92"/>
        <v>9.9999999999999995E-7</v>
      </c>
      <c r="DR61" s="441">
        <f t="shared" si="93"/>
        <v>9.9999999999999995E-7</v>
      </c>
      <c r="DS61" s="441">
        <f t="shared" si="94"/>
        <v>9.9999999999999995E-7</v>
      </c>
      <c r="DT61" s="441">
        <f t="shared" si="95"/>
        <v>9.9999999999999995E-7</v>
      </c>
      <c r="DU61" s="441">
        <f t="shared" si="96"/>
        <v>9.9999999999999995E-7</v>
      </c>
      <c r="DX61" s="435">
        <f t="shared" si="61"/>
        <v>8</v>
      </c>
      <c r="DY61" s="435">
        <f t="shared" si="24"/>
        <v>0</v>
      </c>
      <c r="DZ61" s="435">
        <f t="shared" si="25"/>
        <v>8</v>
      </c>
      <c r="EA61" s="435">
        <f t="shared" si="26"/>
        <v>8</v>
      </c>
      <c r="EB61" s="435">
        <f t="shared" si="27"/>
        <v>8</v>
      </c>
      <c r="EC61" s="435">
        <f t="shared" si="28"/>
        <v>8</v>
      </c>
      <c r="ED61" s="435">
        <f t="shared" si="62"/>
        <v>8</v>
      </c>
      <c r="EE61" s="435">
        <f t="shared" si="29"/>
        <v>8</v>
      </c>
      <c r="EF61" s="435">
        <f t="shared" si="30"/>
        <v>8</v>
      </c>
      <c r="EG61" s="435">
        <f t="shared" si="31"/>
        <v>8</v>
      </c>
      <c r="EH61" s="435">
        <f t="shared" si="32"/>
        <v>8</v>
      </c>
      <c r="EI61" s="435">
        <f t="shared" si="33"/>
        <v>8</v>
      </c>
      <c r="EK61" s="441" t="str">
        <f t="shared" si="63"/>
        <v xml:space="preserve"> </v>
      </c>
      <c r="EL61" s="441" t="str">
        <f t="shared" si="64"/>
        <v xml:space="preserve"> </v>
      </c>
      <c r="EM61" s="441" t="str">
        <f t="shared" si="63"/>
        <v xml:space="preserve"> </v>
      </c>
      <c r="EN61" s="441" t="str">
        <f t="shared" si="64"/>
        <v xml:space="preserve"> </v>
      </c>
      <c r="EO61" s="441" t="str">
        <f t="shared" si="63"/>
        <v xml:space="preserve"> </v>
      </c>
      <c r="EP61" s="441" t="str">
        <f t="shared" si="64"/>
        <v xml:space="preserve"> </v>
      </c>
      <c r="EQ61" s="441" t="str">
        <f t="shared" si="63"/>
        <v xml:space="preserve"> </v>
      </c>
      <c r="ER61" s="441" t="str">
        <f t="shared" si="64"/>
        <v xml:space="preserve"> </v>
      </c>
      <c r="ES61" s="441" t="str">
        <f t="shared" si="63"/>
        <v xml:space="preserve"> </v>
      </c>
      <c r="ET61" s="441" t="str">
        <f t="shared" si="64"/>
        <v xml:space="preserve"> </v>
      </c>
      <c r="EU61" s="441" t="str">
        <f t="shared" si="63"/>
        <v xml:space="preserve"> </v>
      </c>
      <c r="EV61" s="441" t="str">
        <f t="shared" si="64"/>
        <v xml:space="preserve"> </v>
      </c>
      <c r="EW61" s="441" t="str">
        <f t="shared" si="63"/>
        <v xml:space="preserve"> </v>
      </c>
      <c r="EX61" s="441" t="str">
        <f t="shared" si="64"/>
        <v xml:space="preserve"> </v>
      </c>
      <c r="EY61" s="441" t="str">
        <f t="shared" si="63"/>
        <v xml:space="preserve"> </v>
      </c>
      <c r="EZ61" s="441" t="str">
        <f t="shared" si="64"/>
        <v xml:space="preserve"> </v>
      </c>
      <c r="FA61" s="441" t="str">
        <f t="shared" si="97"/>
        <v xml:space="preserve"> </v>
      </c>
      <c r="FB61" s="441" t="str">
        <f t="shared" si="98"/>
        <v xml:space="preserve"> </v>
      </c>
      <c r="FC61" s="441" t="str">
        <f t="shared" si="97"/>
        <v xml:space="preserve"> </v>
      </c>
      <c r="FD61" s="441" t="str">
        <f t="shared" si="98"/>
        <v xml:space="preserve"> </v>
      </c>
      <c r="FE61" s="441" t="str">
        <f t="shared" si="97"/>
        <v xml:space="preserve"> </v>
      </c>
      <c r="FF61" s="441" t="str">
        <f t="shared" si="98"/>
        <v xml:space="preserve"> </v>
      </c>
      <c r="FG61" s="437" t="str">
        <f t="shared" si="97"/>
        <v xml:space="preserve"> </v>
      </c>
      <c r="FH61" s="441" t="str">
        <f t="shared" si="98"/>
        <v xml:space="preserve"> </v>
      </c>
    </row>
    <row r="62" spans="1:164" ht="15" thickBot="1" x14ac:dyDescent="0.25">
      <c r="B62" s="210">
        <v>31</v>
      </c>
      <c r="D62" s="746"/>
      <c r="E62" s="742"/>
      <c r="F62" s="819"/>
      <c r="G62" s="819"/>
      <c r="H62" s="742"/>
      <c r="I62" s="742"/>
      <c r="J62" s="819"/>
      <c r="K62" s="819"/>
      <c r="L62" s="742"/>
      <c r="M62" s="742"/>
      <c r="N62" s="819"/>
      <c r="O62" s="819"/>
      <c r="P62" s="740"/>
      <c r="Q62" s="742"/>
      <c r="R62" s="742"/>
      <c r="S62" s="742"/>
      <c r="T62" s="819"/>
      <c r="U62" s="819"/>
      <c r="V62" s="742"/>
      <c r="W62" s="742"/>
      <c r="X62" s="820"/>
      <c r="Y62" s="819"/>
      <c r="Z62" s="742"/>
      <c r="AA62" s="742"/>
      <c r="AF62" s="413" t="str">
        <f t="shared" si="34"/>
        <v xml:space="preserve"> </v>
      </c>
      <c r="AG62" s="413" t="str">
        <f t="shared" si="78"/>
        <v xml:space="preserve"> </v>
      </c>
      <c r="AH62" s="413" t="str">
        <f t="shared" si="79"/>
        <v xml:space="preserve"> </v>
      </c>
      <c r="AI62" s="413" t="str">
        <f t="shared" si="80"/>
        <v xml:space="preserve"> </v>
      </c>
      <c r="AJ62" s="413" t="str">
        <f t="shared" si="81"/>
        <v xml:space="preserve"> </v>
      </c>
      <c r="AK62" s="413" t="str">
        <f t="shared" si="82"/>
        <v xml:space="preserve"> </v>
      </c>
      <c r="AL62" s="413" t="str">
        <f t="shared" si="83"/>
        <v xml:space="preserve"> </v>
      </c>
      <c r="AM62" s="413" t="str">
        <f t="shared" si="84"/>
        <v xml:space="preserve"> </v>
      </c>
      <c r="AN62" s="413" t="str">
        <f t="shared" si="7"/>
        <v xml:space="preserve"> </v>
      </c>
      <c r="AO62" s="413" t="str">
        <f t="shared" si="8"/>
        <v xml:space="preserve"> </v>
      </c>
      <c r="AP62" s="413" t="str">
        <f t="shared" si="9"/>
        <v xml:space="preserve"> </v>
      </c>
      <c r="AQ62" s="413" t="str">
        <f t="shared" si="10"/>
        <v xml:space="preserve"> </v>
      </c>
      <c r="AU62" s="438">
        <f t="shared" si="35"/>
        <v>0</v>
      </c>
      <c r="AV62" s="438" t="str">
        <f t="shared" si="36"/>
        <v/>
      </c>
      <c r="AW62" s="438">
        <f t="shared" si="77"/>
        <v>0</v>
      </c>
      <c r="AX62" s="438" t="str">
        <f t="shared" si="36"/>
        <v/>
      </c>
      <c r="AY62" s="438">
        <f t="shared" si="67"/>
        <v>0</v>
      </c>
      <c r="AZ62" s="438" t="str">
        <f t="shared" si="36"/>
        <v/>
      </c>
      <c r="BA62" s="438">
        <f t="shared" si="68"/>
        <v>0</v>
      </c>
      <c r="BB62" s="438" t="str">
        <f t="shared" si="36"/>
        <v/>
      </c>
      <c r="BC62" s="438">
        <f t="shared" si="69"/>
        <v>0</v>
      </c>
      <c r="BD62" s="438" t="str">
        <f t="shared" si="36"/>
        <v/>
      </c>
      <c r="BE62" s="438">
        <f t="shared" si="70"/>
        <v>0</v>
      </c>
      <c r="BF62" s="438" t="str">
        <f t="shared" si="36"/>
        <v/>
      </c>
      <c r="BG62" s="438">
        <f t="shared" si="71"/>
        <v>0</v>
      </c>
      <c r="BH62" s="438" t="str">
        <f t="shared" si="36"/>
        <v/>
      </c>
      <c r="BI62" s="438">
        <f t="shared" si="72"/>
        <v>0</v>
      </c>
      <c r="BJ62" s="438" t="str">
        <f t="shared" si="36"/>
        <v/>
      </c>
      <c r="BK62" s="438">
        <f t="shared" si="73"/>
        <v>0</v>
      </c>
      <c r="BL62" s="438" t="str">
        <f t="shared" si="85"/>
        <v/>
      </c>
      <c r="BM62" s="438">
        <f t="shared" si="74"/>
        <v>0</v>
      </c>
      <c r="BN62" s="438" t="str">
        <f t="shared" si="85"/>
        <v/>
      </c>
      <c r="BO62" s="438">
        <f t="shared" si="75"/>
        <v>0</v>
      </c>
      <c r="BP62" s="438" t="str">
        <f t="shared" si="85"/>
        <v/>
      </c>
      <c r="BQ62" s="438">
        <f t="shared" si="76"/>
        <v>0</v>
      </c>
      <c r="BR62" s="438" t="str">
        <f t="shared" si="85"/>
        <v/>
      </c>
      <c r="BV62" s="439">
        <f t="shared" si="38"/>
        <v>8</v>
      </c>
      <c r="BW62" s="439">
        <f>IF(BV62=8,'JSM Jahresdauerlinie'!$E$26,E62)</f>
        <v>9.9999999999999995E-7</v>
      </c>
      <c r="BX62" s="439"/>
      <c r="BY62" s="439" t="s">
        <v>3</v>
      </c>
      <c r="BZ62" s="439">
        <f t="shared" si="40"/>
        <v>8</v>
      </c>
      <c r="CA62" s="439">
        <f>IF(BZ62=8,'JSM Jahresdauerlinie'!$E$26,I62)</f>
        <v>9.9999999999999995E-7</v>
      </c>
      <c r="CB62" s="439"/>
      <c r="CC62" s="439" t="s">
        <v>3</v>
      </c>
      <c r="CD62" s="439">
        <f t="shared" si="42"/>
        <v>8</v>
      </c>
      <c r="CE62" s="439">
        <f>IF(CD62=8,'JSM Jahresdauerlinie'!$E$26,M62)</f>
        <v>9.9999999999999995E-7</v>
      </c>
      <c r="CF62" s="439"/>
      <c r="CG62" s="439" t="s">
        <v>3</v>
      </c>
      <c r="CH62" s="439">
        <f t="shared" si="44"/>
        <v>8</v>
      </c>
      <c r="CI62" s="439">
        <f>IF(CH62=8,'JSM Jahresdauerlinie'!$E$26,Q62)</f>
        <v>9.9999999999999995E-7</v>
      </c>
      <c r="CJ62" s="439">
        <f t="shared" si="45"/>
        <v>8</v>
      </c>
      <c r="CK62" s="439">
        <f>IF(CJ62=8,'JSM Jahresdauerlinie'!$E$26,S62)</f>
        <v>9.9999999999999995E-7</v>
      </c>
      <c r="CL62" s="439"/>
      <c r="CM62" s="439" t="s">
        <v>3</v>
      </c>
      <c r="CN62" s="439">
        <f t="shared" si="47"/>
        <v>8</v>
      </c>
      <c r="CO62" s="439">
        <f>IF(CN62=8,'JSM Jahresdauerlinie'!$E$26,W62)</f>
        <v>9.9999999999999995E-7</v>
      </c>
      <c r="CP62" s="439"/>
      <c r="CQ62" s="439" t="s">
        <v>3</v>
      </c>
      <c r="CR62" s="439">
        <f t="shared" si="49"/>
        <v>8</v>
      </c>
      <c r="CS62" s="439">
        <f>IF(CR62=8,'JSM Jahresdauerlinie'!$E$26,AA62)</f>
        <v>9.9999999999999995E-7</v>
      </c>
      <c r="CT62" s="440"/>
      <c r="CW62" s="435">
        <f>IF(D62=8,'JSM Jahresdauerlinie'!$E$26,IF(BW62=0," ",BW62))</f>
        <v>9.9999999999999995E-7</v>
      </c>
      <c r="CX62" s="435" t="str">
        <f>IF(F62=8,$Q$102,IF(BY62=0," ",BY62))</f>
        <v xml:space="preserve"> </v>
      </c>
      <c r="CY62" s="435">
        <f>IF(H62=8,'JSM Jahresdauerlinie'!$E$26,IF(CA62=0," ",CA62))</f>
        <v>9.9999999999999995E-7</v>
      </c>
      <c r="CZ62" s="435" t="str">
        <f>IF(J62=8,$Q$102,IF(CC62=0," ",CC62))</f>
        <v xml:space="preserve"> </v>
      </c>
      <c r="DA62" s="435">
        <f>IF(L62=8,'JSM Jahresdauerlinie'!$E$26,IF(CE62=0," ",CE62))</f>
        <v>9.9999999999999995E-7</v>
      </c>
      <c r="DB62" s="435" t="str">
        <f>IF(N62=8,$Q$102,IF(CG62=0," ",CG62))</f>
        <v xml:space="preserve"> </v>
      </c>
      <c r="DC62" s="435">
        <f>IF(P62=8,'JSM Jahresdauerlinie'!$E$26,IF(CI62=0," ",CI62))</f>
        <v>9.9999999999999995E-7</v>
      </c>
      <c r="DD62" s="435">
        <f>IF(R62=8,'JSM Jahresdauerlinie'!$E$26,IF(CK62=0," ",CK62))</f>
        <v>9.9999999999999995E-7</v>
      </c>
      <c r="DE62" s="435" t="str">
        <f>IF(T62=8,$Q$102,IF(CM62=0," ",CM62))</f>
        <v xml:space="preserve"> </v>
      </c>
      <c r="DF62" s="435">
        <f>IF(V62=8,'JSM Jahresdauerlinie'!$E$26,IF(CO62=0," ",CO62))</f>
        <v>9.9999999999999995E-7</v>
      </c>
      <c r="DG62" s="435" t="str">
        <f>IF(X62=8,$Q$102,IF(CQ62=0," ",CQ62))</f>
        <v xml:space="preserve"> </v>
      </c>
      <c r="DH62" s="435">
        <f>IF(Z62=8,'JSM Jahresdauerlinie'!$E$26,IF(CS62=0," ",CS62))</f>
        <v>9.9999999999999995E-7</v>
      </c>
      <c r="DJ62" s="441">
        <f t="shared" si="50"/>
        <v>9.9999999999999995E-7</v>
      </c>
      <c r="DK62" s="441" t="s">
        <v>3</v>
      </c>
      <c r="DL62" s="441">
        <f t="shared" si="87"/>
        <v>9.9999999999999995E-7</v>
      </c>
      <c r="DM62" s="441" t="s">
        <v>3</v>
      </c>
      <c r="DN62" s="441">
        <f t="shared" si="89"/>
        <v>9.9999999999999995E-7</v>
      </c>
      <c r="DO62" s="441" t="s">
        <v>3</v>
      </c>
      <c r="DP62" s="441">
        <f t="shared" si="91"/>
        <v>9.9999999999999995E-7</v>
      </c>
      <c r="DQ62" s="441">
        <f t="shared" si="92"/>
        <v>9.9999999999999995E-7</v>
      </c>
      <c r="DR62" s="441" t="s">
        <v>3</v>
      </c>
      <c r="DS62" s="441">
        <f t="shared" si="94"/>
        <v>9.9999999999999995E-7</v>
      </c>
      <c r="DT62" s="441" t="s">
        <v>3</v>
      </c>
      <c r="DU62" s="441">
        <f t="shared" si="96"/>
        <v>9.9999999999999995E-7</v>
      </c>
      <c r="DX62" s="435">
        <f t="shared" si="61"/>
        <v>8</v>
      </c>
      <c r="DY62" s="435">
        <f t="shared" si="24"/>
        <v>0</v>
      </c>
      <c r="DZ62" s="435">
        <f t="shared" si="25"/>
        <v>8</v>
      </c>
      <c r="EA62" s="435">
        <f t="shared" si="26"/>
        <v>0</v>
      </c>
      <c r="EB62" s="435">
        <f t="shared" si="27"/>
        <v>8</v>
      </c>
      <c r="EC62" s="435">
        <f t="shared" si="28"/>
        <v>0</v>
      </c>
      <c r="ED62" s="435">
        <f t="shared" si="62"/>
        <v>8</v>
      </c>
      <c r="EE62" s="435">
        <f t="shared" si="29"/>
        <v>8</v>
      </c>
      <c r="EF62" s="435">
        <f t="shared" si="30"/>
        <v>0</v>
      </c>
      <c r="EG62" s="435">
        <f t="shared" si="31"/>
        <v>8</v>
      </c>
      <c r="EH62" s="435">
        <f t="shared" si="32"/>
        <v>0</v>
      </c>
      <c r="EI62" s="435">
        <f t="shared" si="33"/>
        <v>8</v>
      </c>
      <c r="EK62" s="441" t="str">
        <f t="shared" si="63"/>
        <v xml:space="preserve"> </v>
      </c>
      <c r="EL62" s="441" t="str">
        <f t="shared" si="64"/>
        <v xml:space="preserve"> </v>
      </c>
      <c r="EM62" s="441" t="str">
        <f t="shared" si="63"/>
        <v xml:space="preserve"> </v>
      </c>
      <c r="EN62" s="441" t="str">
        <f t="shared" si="64"/>
        <v xml:space="preserve"> </v>
      </c>
      <c r="EO62" s="441" t="str">
        <f t="shared" si="63"/>
        <v xml:space="preserve"> </v>
      </c>
      <c r="EP62" s="441" t="str">
        <f t="shared" si="64"/>
        <v xml:space="preserve"> </v>
      </c>
      <c r="EQ62" s="441" t="str">
        <f t="shared" si="63"/>
        <v xml:space="preserve"> </v>
      </c>
      <c r="ER62" s="441" t="str">
        <f t="shared" si="64"/>
        <v xml:space="preserve"> </v>
      </c>
      <c r="ES62" s="441" t="str">
        <f t="shared" si="63"/>
        <v xml:space="preserve"> </v>
      </c>
      <c r="ET62" s="441" t="str">
        <f t="shared" si="64"/>
        <v xml:space="preserve"> </v>
      </c>
      <c r="EU62" s="441" t="str">
        <f t="shared" si="63"/>
        <v xml:space="preserve"> </v>
      </c>
      <c r="EV62" s="441" t="str">
        <f t="shared" si="64"/>
        <v xml:space="preserve"> </v>
      </c>
      <c r="EW62" s="441" t="str">
        <f t="shared" si="63"/>
        <v xml:space="preserve"> </v>
      </c>
      <c r="EX62" s="441" t="str">
        <f t="shared" si="64"/>
        <v xml:space="preserve"> </v>
      </c>
      <c r="EY62" s="441" t="str">
        <f t="shared" si="63"/>
        <v xml:space="preserve"> </v>
      </c>
      <c r="EZ62" s="441" t="str">
        <f t="shared" si="64"/>
        <v xml:space="preserve"> </v>
      </c>
      <c r="FA62" s="441" t="str">
        <f t="shared" si="97"/>
        <v xml:space="preserve"> </v>
      </c>
      <c r="FB62" s="441" t="str">
        <f t="shared" si="98"/>
        <v xml:space="preserve"> </v>
      </c>
      <c r="FC62" s="441" t="str">
        <f t="shared" si="97"/>
        <v xml:space="preserve"> </v>
      </c>
      <c r="FD62" s="441" t="str">
        <f t="shared" si="98"/>
        <v xml:space="preserve"> </v>
      </c>
      <c r="FE62" s="441" t="str">
        <f t="shared" si="97"/>
        <v xml:space="preserve"> </v>
      </c>
      <c r="FF62" s="441" t="str">
        <f t="shared" si="98"/>
        <v xml:space="preserve"> </v>
      </c>
      <c r="FG62" s="437" t="str">
        <f t="shared" si="97"/>
        <v xml:space="preserve"> </v>
      </c>
      <c r="FH62" s="441" t="str">
        <f t="shared" si="98"/>
        <v xml:space="preserve"> </v>
      </c>
    </row>
    <row r="63" spans="1:164" ht="15.75" x14ac:dyDescent="0.25">
      <c r="B63" s="227"/>
      <c r="D63" s="219"/>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678" t="s">
        <v>261</v>
      </c>
      <c r="BW63" s="440"/>
      <c r="BX63" s="440"/>
      <c r="BY63" s="440"/>
      <c r="BZ63" s="440"/>
      <c r="CA63" s="440"/>
      <c r="CB63" s="440"/>
      <c r="CC63" s="440"/>
      <c r="CD63" s="440"/>
      <c r="CE63" s="440"/>
      <c r="CF63" s="440"/>
      <c r="CG63" s="440"/>
      <c r="CH63" s="440"/>
      <c r="CI63" s="440"/>
      <c r="CJ63" s="440"/>
      <c r="CK63" s="440"/>
      <c r="CL63" s="440"/>
      <c r="CM63" s="440"/>
      <c r="CN63" s="440"/>
      <c r="CO63" s="440"/>
      <c r="CP63" s="440"/>
      <c r="CQ63" s="440"/>
      <c r="CR63" s="440"/>
      <c r="CS63" s="440"/>
      <c r="CT63" s="440"/>
      <c r="CU63" s="411" t="s">
        <v>86</v>
      </c>
      <c r="DX63" s="435"/>
    </row>
    <row r="64" spans="1:164" ht="15" x14ac:dyDescent="0.2">
      <c r="A64" s="830"/>
      <c r="B64" s="848" t="s">
        <v>254</v>
      </c>
      <c r="C64" s="848"/>
      <c r="D64" s="848"/>
      <c r="E64" s="685">
        <f>IF(EL89&lt;EL94,EL94,EL89)</f>
        <v>0</v>
      </c>
      <c r="F64" s="685"/>
      <c r="G64" s="685">
        <f>IF(EN89&lt;EN94,EN94,EN89)</f>
        <v>0</v>
      </c>
      <c r="H64" s="685"/>
      <c r="I64" s="685">
        <f>IF(EP89&lt;EP94,EP94,EP89)</f>
        <v>0</v>
      </c>
      <c r="J64" s="685"/>
      <c r="K64" s="685">
        <f>IF(ER89&lt;ER94,ER94,ER89)</f>
        <v>0</v>
      </c>
      <c r="L64" s="685"/>
      <c r="M64" s="685">
        <f>IF(ET89&lt;ET94,ET94,ET89)</f>
        <v>0</v>
      </c>
      <c r="N64" s="685"/>
      <c r="O64" s="685">
        <f>IF(EV89&lt;EV94,EV94,EV89)</f>
        <v>0</v>
      </c>
      <c r="P64" s="685"/>
      <c r="Q64" s="685">
        <f>IF(EX89&lt;EX94,EX94,EX89)</f>
        <v>0</v>
      </c>
      <c r="R64" s="685"/>
      <c r="S64" s="685">
        <f>IF(EZ89&lt;EZ94,EZ94,EZ89)</f>
        <v>0</v>
      </c>
      <c r="T64" s="685"/>
      <c r="U64" s="685">
        <f>IF(FB89&lt;FB94,FB94,FB89)</f>
        <v>0</v>
      </c>
      <c r="V64" s="685"/>
      <c r="W64" s="685">
        <f>IF(FD89&lt;FD94,FD94,FD89)</f>
        <v>0</v>
      </c>
      <c r="X64" s="685"/>
      <c r="Y64" s="685">
        <f>IF(FF89&lt;FF94,FF94,FF89)</f>
        <v>0</v>
      </c>
      <c r="Z64" s="685"/>
      <c r="AA64" s="685">
        <f>IF(FH89&lt;FH94,FH94,FH89)</f>
        <v>0</v>
      </c>
      <c r="AB64" s="685">
        <f t="shared" ref="AB64:AB69" si="99">SUM(E64:AA64)</f>
        <v>0</v>
      </c>
      <c r="AC64" s="404"/>
      <c r="AF64" s="411" t="s">
        <v>294</v>
      </c>
      <c r="BW64" s="440"/>
      <c r="BX64" s="440"/>
      <c r="BY64" s="440"/>
      <c r="BZ64" s="440"/>
      <c r="CA64" s="440"/>
      <c r="CB64" s="440"/>
      <c r="CC64" s="440"/>
      <c r="CD64" s="440"/>
      <c r="CE64" s="440"/>
      <c r="CF64" s="440"/>
      <c r="CG64" s="440"/>
      <c r="CH64" s="440"/>
      <c r="CI64" s="440"/>
      <c r="CJ64" s="440"/>
      <c r="CK64" s="440"/>
      <c r="CL64" s="440"/>
      <c r="CM64" s="440"/>
      <c r="CN64" s="440"/>
      <c r="CO64" s="440"/>
      <c r="CP64" s="440"/>
      <c r="CQ64" s="440"/>
      <c r="CR64" s="440"/>
      <c r="CS64" s="440"/>
      <c r="CT64" s="440"/>
      <c r="DX64" s="435"/>
    </row>
    <row r="65" spans="1:248" ht="15" x14ac:dyDescent="0.2">
      <c r="A65" s="296"/>
      <c r="B65" s="848" t="s">
        <v>260</v>
      </c>
      <c r="C65" s="848"/>
      <c r="D65" s="848"/>
      <c r="E65" s="685" t="str">
        <f>EL92</f>
        <v xml:space="preserve"> </v>
      </c>
      <c r="F65" s="685"/>
      <c r="G65" s="685" t="str">
        <f>EN92</f>
        <v xml:space="preserve"> </v>
      </c>
      <c r="H65" s="685"/>
      <c r="I65" s="685" t="str">
        <f>EP92</f>
        <v xml:space="preserve"> </v>
      </c>
      <c r="J65" s="685"/>
      <c r="K65" s="685" t="str">
        <f>ER92</f>
        <v xml:space="preserve"> </v>
      </c>
      <c r="L65" s="685"/>
      <c r="M65" s="685" t="str">
        <f>ET92</f>
        <v xml:space="preserve"> </v>
      </c>
      <c r="N65" s="685"/>
      <c r="O65" s="685" t="str">
        <f>EV92</f>
        <v xml:space="preserve"> </v>
      </c>
      <c r="P65" s="685"/>
      <c r="Q65" s="685" t="str">
        <f>EX92</f>
        <v xml:space="preserve"> </v>
      </c>
      <c r="R65" s="685"/>
      <c r="S65" s="685" t="str">
        <f>EZ92</f>
        <v xml:space="preserve"> </v>
      </c>
      <c r="T65" s="685"/>
      <c r="U65" s="685" t="str">
        <f>FB92</f>
        <v xml:space="preserve"> </v>
      </c>
      <c r="V65" s="685"/>
      <c r="W65" s="685" t="str">
        <f>FD92</f>
        <v xml:space="preserve"> </v>
      </c>
      <c r="X65" s="685"/>
      <c r="Y65" s="685" t="str">
        <f>FF92</f>
        <v xml:space="preserve"> </v>
      </c>
      <c r="Z65" s="685"/>
      <c r="AA65" s="685" t="str">
        <f>FH92</f>
        <v xml:space="preserve"> </v>
      </c>
      <c r="AB65" s="685">
        <f t="shared" si="99"/>
        <v>0</v>
      </c>
      <c r="AC65" s="404"/>
      <c r="AE65" s="424" t="s">
        <v>154</v>
      </c>
      <c r="AF65" s="411">
        <f>COUNTIF(AF32:AQ62,"&gt;0")</f>
        <v>0</v>
      </c>
      <c r="BW65" s="440"/>
      <c r="BX65" s="440"/>
      <c r="BY65" s="440"/>
      <c r="BZ65" s="440"/>
      <c r="CA65" s="440"/>
      <c r="CB65" s="440"/>
      <c r="CC65" s="440"/>
      <c r="CD65" s="440"/>
      <c r="CE65" s="440"/>
      <c r="CF65" s="440"/>
      <c r="CG65" s="440"/>
      <c r="CH65" s="440"/>
      <c r="CI65" s="440"/>
      <c r="CJ65" s="440"/>
      <c r="CK65" s="440"/>
      <c r="CL65" s="440"/>
      <c r="CM65" s="440"/>
      <c r="CN65" s="440"/>
      <c r="CO65" s="440"/>
      <c r="CP65" s="440"/>
      <c r="CQ65" s="440"/>
      <c r="CR65" s="440"/>
      <c r="CS65" s="440"/>
      <c r="CT65" s="440"/>
      <c r="DX65" s="435"/>
    </row>
    <row r="66" spans="1:248" ht="15" x14ac:dyDescent="0.2">
      <c r="A66" s="296"/>
      <c r="B66" s="849" t="s">
        <v>259</v>
      </c>
      <c r="C66" s="849"/>
      <c r="D66" s="849"/>
      <c r="E66" s="831">
        <f>EL88</f>
        <v>0</v>
      </c>
      <c r="F66" s="831"/>
      <c r="G66" s="831">
        <f>EN88</f>
        <v>0</v>
      </c>
      <c r="H66" s="831"/>
      <c r="I66" s="831">
        <f>EP88</f>
        <v>0</v>
      </c>
      <c r="J66" s="831"/>
      <c r="K66" s="831">
        <f>ER88</f>
        <v>0</v>
      </c>
      <c r="L66" s="831"/>
      <c r="M66" s="831">
        <f>ET88</f>
        <v>0</v>
      </c>
      <c r="N66" s="831"/>
      <c r="O66" s="831">
        <f>EV88</f>
        <v>0</v>
      </c>
      <c r="P66" s="831"/>
      <c r="Q66" s="831">
        <f>EX88</f>
        <v>0</v>
      </c>
      <c r="R66" s="831"/>
      <c r="S66" s="831">
        <f>EZ88</f>
        <v>0</v>
      </c>
      <c r="T66" s="831"/>
      <c r="U66" s="831">
        <f>FB88</f>
        <v>0</v>
      </c>
      <c r="V66" s="831"/>
      <c r="W66" s="831">
        <f>FD88</f>
        <v>0</v>
      </c>
      <c r="X66" s="831"/>
      <c r="Y66" s="831">
        <f>FF88</f>
        <v>0</v>
      </c>
      <c r="Z66" s="831"/>
      <c r="AA66" s="831">
        <f>FH88</f>
        <v>0</v>
      </c>
      <c r="AB66" s="831">
        <f t="shared" si="99"/>
        <v>0</v>
      </c>
      <c r="BW66" s="440"/>
      <c r="BX66" s="440"/>
      <c r="BY66" s="440"/>
      <c r="BZ66" s="440"/>
      <c r="CA66" s="440"/>
      <c r="CB66" s="440"/>
      <c r="CC66" s="440"/>
      <c r="CD66" s="440"/>
      <c r="CE66" s="440"/>
      <c r="CF66" s="440"/>
      <c r="CG66" s="440"/>
      <c r="CH66" s="440"/>
      <c r="CI66" s="440"/>
      <c r="CJ66" s="440"/>
      <c r="CK66" s="440"/>
      <c r="CL66" s="440"/>
      <c r="CM66" s="440"/>
      <c r="CN66" s="440"/>
      <c r="CO66" s="440"/>
      <c r="CP66" s="440"/>
      <c r="CQ66" s="440"/>
      <c r="CR66" s="440"/>
      <c r="CS66" s="440"/>
      <c r="CT66" s="440"/>
      <c r="DX66" s="435"/>
    </row>
    <row r="67" spans="1:248" ht="15" x14ac:dyDescent="0.2">
      <c r="A67" s="832"/>
      <c r="B67" s="848" t="s">
        <v>255</v>
      </c>
      <c r="C67" s="848"/>
      <c r="D67" s="848"/>
      <c r="E67" s="685">
        <f>IF(E64=0,0,E93/E64*31)</f>
        <v>0</v>
      </c>
      <c r="F67" s="685"/>
      <c r="G67" s="685">
        <f>IF(G64=0,0,G93/G64*28)</f>
        <v>0</v>
      </c>
      <c r="H67" s="685"/>
      <c r="I67" s="685">
        <f>IF(I64=0,0,I93/I64*31)</f>
        <v>0</v>
      </c>
      <c r="J67" s="685"/>
      <c r="K67" s="685">
        <f>IF(K64=0,0,K93/K64*30)</f>
        <v>0</v>
      </c>
      <c r="L67" s="685"/>
      <c r="M67" s="685">
        <f>IF(M64=0,0,M93/M64*31)</f>
        <v>0</v>
      </c>
      <c r="N67" s="685"/>
      <c r="O67" s="685">
        <f>IF(O64=0,0,O93/O64*30)</f>
        <v>0</v>
      </c>
      <c r="P67" s="685"/>
      <c r="Q67" s="685">
        <f>IF(Q64=0,0,Q93/Q64*31)</f>
        <v>0</v>
      </c>
      <c r="R67" s="685"/>
      <c r="S67" s="685">
        <f>IF(S64=0,0,S93/S64*31)</f>
        <v>0</v>
      </c>
      <c r="T67" s="685"/>
      <c r="U67" s="685">
        <f>IF(U64=0,0,U93/U64*30)</f>
        <v>0</v>
      </c>
      <c r="V67" s="685"/>
      <c r="W67" s="685">
        <f>IF(W64=0,0,W93/W64*31)</f>
        <v>0</v>
      </c>
      <c r="X67" s="685"/>
      <c r="Y67" s="685">
        <f>IF(Y64=0,0,Y93/Y64*30)</f>
        <v>0</v>
      </c>
      <c r="Z67" s="685"/>
      <c r="AA67" s="685">
        <f>IF(AA64=0,0,AA93/AA64*31)</f>
        <v>0</v>
      </c>
      <c r="AB67" s="685">
        <f t="shared" si="99"/>
        <v>0</v>
      </c>
      <c r="BW67" s="440"/>
      <c r="BX67" s="440"/>
      <c r="BY67" s="440"/>
      <c r="BZ67" s="440"/>
      <c r="CA67" s="440"/>
      <c r="CB67" s="440"/>
      <c r="CC67" s="440"/>
      <c r="CD67" s="440"/>
      <c r="CE67" s="440"/>
      <c r="CF67" s="440"/>
      <c r="CG67" s="440"/>
      <c r="CH67" s="440"/>
      <c r="CI67" s="440"/>
      <c r="CJ67" s="440"/>
      <c r="CK67" s="440"/>
      <c r="CL67" s="440"/>
      <c r="CM67" s="440"/>
      <c r="CN67" s="440"/>
      <c r="CO67" s="440"/>
      <c r="CP67" s="440"/>
      <c r="CQ67" s="440"/>
      <c r="CR67" s="440"/>
      <c r="CS67" s="440"/>
      <c r="CT67" s="440"/>
      <c r="DX67" s="435"/>
    </row>
    <row r="68" spans="1:248" s="677" customFormat="1" ht="15" customHeight="1" x14ac:dyDescent="0.2">
      <c r="A68" s="835"/>
      <c r="B68" s="852" t="s">
        <v>329</v>
      </c>
      <c r="C68" s="852"/>
      <c r="D68" s="852"/>
      <c r="E68" s="833">
        <f>SUM(E32:E62)</f>
        <v>0</v>
      </c>
      <c r="F68" s="833"/>
      <c r="G68" s="833">
        <f>SUM(G32:G62)</f>
        <v>0</v>
      </c>
      <c r="H68" s="833"/>
      <c r="I68" s="833">
        <f>SUM(I32:I62)</f>
        <v>0</v>
      </c>
      <c r="J68" s="833"/>
      <c r="K68" s="833">
        <f>SUM(K32:K62)</f>
        <v>0</v>
      </c>
      <c r="L68" s="833"/>
      <c r="M68" s="833">
        <f>SUM(M32:M62)</f>
        <v>0</v>
      </c>
      <c r="N68" s="833"/>
      <c r="O68" s="833">
        <f>SUM(O32:O62)</f>
        <v>0</v>
      </c>
      <c r="P68" s="833"/>
      <c r="Q68" s="833">
        <f>SUM(Q32:Q62)</f>
        <v>0</v>
      </c>
      <c r="R68" s="833"/>
      <c r="S68" s="833">
        <f>SUM(S32:S62)</f>
        <v>0</v>
      </c>
      <c r="T68" s="833"/>
      <c r="U68" s="833">
        <f>SUM(U32:U62)</f>
        <v>0</v>
      </c>
      <c r="V68" s="833"/>
      <c r="W68" s="833">
        <f>SUM(W32:W62)</f>
        <v>0</v>
      </c>
      <c r="X68" s="833"/>
      <c r="Y68" s="833">
        <f>SUM(Y32:Y62)</f>
        <v>0</v>
      </c>
      <c r="Z68" s="833"/>
      <c r="AA68" s="833">
        <f>SUM(AA32:AA62)</f>
        <v>0</v>
      </c>
      <c r="AB68" s="833">
        <f t="shared" si="99"/>
        <v>0</v>
      </c>
      <c r="AC68" s="410"/>
      <c r="AD68" s="410"/>
      <c r="AE68" s="411"/>
      <c r="AF68" s="411"/>
      <c r="AG68" s="411"/>
      <c r="AH68" s="411"/>
      <c r="AI68" s="411"/>
      <c r="AJ68" s="411"/>
      <c r="AK68" s="411"/>
      <c r="AL68" s="411"/>
      <c r="AM68" s="411"/>
      <c r="AN68" s="411"/>
      <c r="AO68" s="411"/>
      <c r="AP68" s="411"/>
      <c r="AQ68" s="411"/>
      <c r="AR68" s="411"/>
      <c r="AS68" s="411"/>
      <c r="AT68" s="411"/>
      <c r="AU68" s="411"/>
      <c r="AV68" s="411"/>
      <c r="AW68" s="411"/>
      <c r="AX68" s="411"/>
      <c r="AY68" s="411"/>
      <c r="AZ68" s="411"/>
      <c r="BA68" s="411"/>
      <c r="BB68" s="411"/>
      <c r="BC68" s="411"/>
      <c r="BD68" s="411"/>
      <c r="BE68" s="411"/>
      <c r="BF68" s="411"/>
      <c r="BG68" s="411"/>
      <c r="BH68" s="411"/>
      <c r="BI68" s="411"/>
      <c r="BJ68" s="411"/>
      <c r="BK68" s="411"/>
      <c r="BL68" s="411"/>
      <c r="BM68" s="411"/>
      <c r="BN68" s="411"/>
      <c r="BO68" s="411"/>
      <c r="BP68" s="411"/>
      <c r="BQ68" s="411"/>
      <c r="BR68" s="411"/>
      <c r="BS68" s="411"/>
      <c r="BT68" s="411"/>
      <c r="BU68" s="411"/>
      <c r="BV68" s="411"/>
      <c r="BW68" s="440"/>
      <c r="BX68" s="440"/>
      <c r="BY68" s="440"/>
      <c r="BZ68" s="440"/>
      <c r="CA68" s="440"/>
      <c r="CB68" s="440"/>
      <c r="CC68" s="440"/>
      <c r="CD68" s="440"/>
      <c r="CE68" s="440"/>
      <c r="CF68" s="440"/>
      <c r="CG68" s="440"/>
      <c r="CH68" s="440"/>
      <c r="CI68" s="440"/>
      <c r="CJ68" s="440"/>
      <c r="CK68" s="440"/>
      <c r="CL68" s="440"/>
      <c r="CM68" s="440"/>
      <c r="CN68" s="440"/>
      <c r="CO68" s="440"/>
      <c r="CP68" s="440"/>
      <c r="CQ68" s="440"/>
      <c r="CR68" s="440"/>
      <c r="CS68" s="440"/>
      <c r="CT68" s="440"/>
      <c r="CU68" s="411"/>
      <c r="CV68" s="411"/>
      <c r="CW68" s="413"/>
      <c r="CX68" s="413"/>
      <c r="CY68" s="413"/>
      <c r="CZ68" s="413"/>
      <c r="DA68" s="413"/>
      <c r="DB68" s="413"/>
      <c r="DC68" s="413"/>
      <c r="DD68" s="413"/>
      <c r="DE68" s="413"/>
      <c r="DF68" s="413"/>
      <c r="DG68" s="413"/>
      <c r="DH68" s="413"/>
      <c r="DI68" s="413"/>
      <c r="DJ68" s="411"/>
      <c r="DK68" s="411"/>
      <c r="DL68" s="411"/>
      <c r="DM68" s="411"/>
      <c r="DN68" s="411"/>
      <c r="DO68" s="411"/>
      <c r="DP68" s="411"/>
      <c r="DQ68" s="411"/>
      <c r="DR68" s="411"/>
      <c r="DS68" s="411"/>
      <c r="DT68" s="411"/>
      <c r="DU68" s="411"/>
      <c r="DV68" s="413"/>
      <c r="DW68" s="413"/>
      <c r="DX68" s="435"/>
      <c r="DY68" s="413"/>
      <c r="DZ68" s="413"/>
      <c r="EA68" s="413"/>
      <c r="EB68" s="413"/>
      <c r="EC68" s="413"/>
      <c r="ED68" s="413"/>
      <c r="EE68" s="413"/>
      <c r="EF68" s="413"/>
      <c r="EG68" s="413"/>
      <c r="EH68" s="413"/>
      <c r="EI68" s="413"/>
      <c r="EJ68" s="413"/>
      <c r="EK68" s="411"/>
      <c r="EL68" s="411"/>
      <c r="EM68" s="411"/>
      <c r="EN68" s="411"/>
      <c r="EO68" s="411"/>
      <c r="EP68" s="411"/>
      <c r="EQ68" s="411"/>
      <c r="ER68" s="411"/>
      <c r="ES68" s="411"/>
      <c r="ET68" s="411"/>
      <c r="EU68" s="411"/>
      <c r="EV68" s="411"/>
      <c r="EW68" s="411"/>
      <c r="EX68" s="411"/>
      <c r="EY68" s="411"/>
      <c r="EZ68" s="411"/>
      <c r="FA68" s="411"/>
      <c r="FB68" s="411"/>
      <c r="FC68" s="411"/>
      <c r="FD68" s="411"/>
      <c r="FE68" s="411"/>
      <c r="FF68" s="411"/>
      <c r="FG68" s="411"/>
      <c r="FH68" s="411"/>
      <c r="FI68" s="413"/>
      <c r="FJ68" s="413"/>
      <c r="FK68" s="413"/>
      <c r="FL68" s="387"/>
      <c r="FM68" s="387"/>
      <c r="FN68" s="387"/>
      <c r="FO68" s="387"/>
      <c r="FP68" s="387"/>
      <c r="FQ68" s="387"/>
      <c r="FR68" s="387"/>
      <c r="FS68" s="387"/>
      <c r="FT68" s="387"/>
      <c r="FU68" s="387"/>
      <c r="FV68" s="387"/>
      <c r="FW68" s="387"/>
      <c r="FX68" s="387"/>
      <c r="FY68" s="387"/>
      <c r="FZ68" s="387"/>
      <c r="GA68" s="387"/>
      <c r="GB68" s="387"/>
      <c r="GC68" s="387"/>
      <c r="GD68" s="387"/>
      <c r="GE68" s="387"/>
      <c r="GF68" s="387"/>
      <c r="GG68" s="387"/>
      <c r="GH68" s="387"/>
      <c r="GI68" s="387"/>
      <c r="GJ68" s="387"/>
      <c r="GK68" s="387"/>
      <c r="GL68" s="387"/>
      <c r="GM68" s="387"/>
      <c r="GN68" s="387"/>
      <c r="GO68" s="387"/>
      <c r="GP68" s="387"/>
      <c r="GQ68" s="387"/>
      <c r="GR68" s="387"/>
      <c r="GS68" s="387"/>
      <c r="GT68" s="387"/>
      <c r="GU68" s="387"/>
      <c r="GV68" s="387"/>
      <c r="GW68" s="387"/>
      <c r="GX68" s="387"/>
      <c r="GY68" s="387"/>
      <c r="GZ68" s="387"/>
      <c r="HA68" s="387"/>
      <c r="HB68" s="387"/>
      <c r="HC68" s="387"/>
      <c r="HD68" s="387"/>
      <c r="HE68" s="387"/>
      <c r="HF68" s="387"/>
      <c r="HG68" s="387"/>
      <c r="HH68" s="387"/>
      <c r="HI68" s="387"/>
      <c r="HJ68" s="387"/>
      <c r="HK68" s="387"/>
      <c r="HL68" s="387"/>
      <c r="HM68" s="387"/>
      <c r="HN68" s="387"/>
      <c r="HO68" s="387"/>
      <c r="HP68" s="387"/>
      <c r="HQ68" s="387"/>
      <c r="HR68" s="387"/>
      <c r="HS68" s="387"/>
      <c r="HT68" s="387"/>
      <c r="HU68" s="387"/>
      <c r="HV68" s="387"/>
      <c r="HW68" s="387"/>
      <c r="HX68" s="387"/>
      <c r="HY68" s="387"/>
      <c r="HZ68" s="387"/>
      <c r="IA68" s="387"/>
      <c r="IB68" s="387"/>
      <c r="IC68" s="387"/>
      <c r="ID68" s="387"/>
      <c r="IE68" s="387"/>
      <c r="IF68" s="387"/>
      <c r="IG68" s="387"/>
      <c r="IH68" s="387"/>
      <c r="II68" s="387"/>
      <c r="IJ68" s="387"/>
      <c r="IK68" s="387"/>
      <c r="IL68" s="387"/>
      <c r="IM68" s="387"/>
      <c r="IN68" s="387"/>
    </row>
    <row r="69" spans="1:248" ht="40.5" customHeight="1" x14ac:dyDescent="0.2">
      <c r="A69" s="834"/>
      <c r="B69" s="853" t="s">
        <v>347</v>
      </c>
      <c r="C69" s="853"/>
      <c r="D69" s="853"/>
      <c r="E69" s="685">
        <f>SUM(BW32:BW62)</f>
        <v>3.1000000000000008E-5</v>
      </c>
      <c r="F69" s="685"/>
      <c r="G69" s="685">
        <f t="shared" ref="G69:AA69" si="100">SUM(BY32:BY62)</f>
        <v>2.800000000000001E-5</v>
      </c>
      <c r="H69" s="685"/>
      <c r="I69" s="685">
        <f t="shared" si="100"/>
        <v>3.1000000000000008E-5</v>
      </c>
      <c r="J69" s="685"/>
      <c r="K69" s="685">
        <f t="shared" si="100"/>
        <v>3.0000000000000011E-5</v>
      </c>
      <c r="L69" s="685"/>
      <c r="M69" s="685">
        <f t="shared" si="100"/>
        <v>3.1000000000000008E-5</v>
      </c>
      <c r="N69" s="685"/>
      <c r="O69" s="685">
        <f t="shared" si="100"/>
        <v>3.0000000000000011E-5</v>
      </c>
      <c r="P69" s="685"/>
      <c r="Q69" s="685">
        <f t="shared" si="100"/>
        <v>3.1000000000000008E-5</v>
      </c>
      <c r="R69" s="685"/>
      <c r="S69" s="685">
        <f t="shared" si="100"/>
        <v>3.1000000000000008E-5</v>
      </c>
      <c r="T69" s="685"/>
      <c r="U69" s="685">
        <f t="shared" si="100"/>
        <v>3.0000000000000011E-5</v>
      </c>
      <c r="V69" s="685"/>
      <c r="W69" s="685">
        <f t="shared" si="100"/>
        <v>3.1000000000000008E-5</v>
      </c>
      <c r="X69" s="685"/>
      <c r="Y69" s="685">
        <f t="shared" si="100"/>
        <v>3.0000000000000011E-5</v>
      </c>
      <c r="Z69" s="685"/>
      <c r="AA69" s="685">
        <f t="shared" si="100"/>
        <v>3.1000000000000008E-5</v>
      </c>
      <c r="AB69" s="683">
        <f t="shared" si="99"/>
        <v>3.6500000000000009E-4</v>
      </c>
      <c r="BW69" s="440"/>
      <c r="BX69" s="440"/>
      <c r="BY69" s="440"/>
      <c r="BZ69" s="440"/>
      <c r="CA69" s="440"/>
      <c r="CB69" s="440"/>
      <c r="CC69" s="440"/>
      <c r="CD69" s="440"/>
      <c r="CE69" s="440"/>
      <c r="CF69" s="440"/>
      <c r="CG69" s="440"/>
      <c r="CH69" s="440"/>
      <c r="CI69" s="440"/>
      <c r="CJ69" s="440"/>
      <c r="CK69" s="440"/>
      <c r="CL69" s="440"/>
      <c r="CM69" s="440"/>
      <c r="CN69" s="440"/>
      <c r="CO69" s="440"/>
      <c r="CP69" s="440"/>
      <c r="CQ69" s="440"/>
      <c r="CR69" s="440"/>
      <c r="CS69" s="440"/>
      <c r="CT69" s="440"/>
      <c r="DX69" s="435"/>
    </row>
    <row r="71" spans="1:248" ht="15.75" thickBot="1" x14ac:dyDescent="0.25">
      <c r="A71" s="757"/>
      <c r="B71" s="757"/>
      <c r="C71" s="757"/>
      <c r="D71" s="757"/>
      <c r="E71" s="356"/>
      <c r="F71" s="356"/>
      <c r="G71" s="356"/>
      <c r="H71" s="356"/>
      <c r="I71" s="356"/>
      <c r="J71" s="357"/>
      <c r="K71" s="357"/>
      <c r="L71" s="357"/>
      <c r="M71" s="357"/>
      <c r="N71" s="357"/>
      <c r="O71" s="357"/>
      <c r="P71" s="357"/>
      <c r="Q71" s="357"/>
      <c r="R71" s="357"/>
      <c r="S71" s="357"/>
      <c r="T71" s="357"/>
      <c r="U71" s="357"/>
      <c r="V71" s="357"/>
      <c r="W71" s="357"/>
      <c r="X71" s="357"/>
      <c r="Y71" s="357"/>
      <c r="Z71" s="357"/>
      <c r="AA71" s="481" t="s">
        <v>293</v>
      </c>
      <c r="AB71" s="684">
        <f>IF(AB64=0,0,AB66/AB64*365)</f>
        <v>0</v>
      </c>
      <c r="BW71" s="440"/>
      <c r="BX71" s="440"/>
      <c r="BY71" s="440"/>
      <c r="BZ71" s="440"/>
      <c r="CA71" s="440"/>
      <c r="CB71" s="440"/>
      <c r="CC71" s="440"/>
      <c r="CD71" s="440"/>
      <c r="CE71" s="440"/>
      <c r="CF71" s="440"/>
      <c r="CG71" s="440"/>
      <c r="CH71" s="440"/>
      <c r="CI71" s="440"/>
      <c r="CJ71" s="440"/>
      <c r="CK71" s="440"/>
      <c r="CL71" s="440"/>
      <c r="CM71" s="440"/>
      <c r="CN71" s="440"/>
      <c r="CO71" s="440"/>
      <c r="CP71" s="440"/>
      <c r="CQ71" s="440"/>
      <c r="CR71" s="440"/>
      <c r="CS71" s="440"/>
      <c r="CT71" s="440"/>
      <c r="DX71" s="435"/>
    </row>
    <row r="72" spans="1:248" ht="27.75" customHeight="1" thickBot="1" x14ac:dyDescent="0.25">
      <c r="C72" s="212"/>
      <c r="D72" s="212"/>
      <c r="E72" s="212"/>
      <c r="F72" s="212"/>
      <c r="G72" s="212"/>
      <c r="H72" s="212"/>
      <c r="I72" s="212"/>
      <c r="J72" s="212"/>
      <c r="K72" s="212"/>
      <c r="L72" s="212"/>
      <c r="M72" s="212"/>
      <c r="N72" s="212"/>
      <c r="O72" s="212"/>
      <c r="P72" s="212"/>
      <c r="Q72" s="212"/>
      <c r="R72" s="212"/>
      <c r="S72" s="212"/>
      <c r="T72" s="212"/>
      <c r="U72" s="510"/>
      <c r="V72" s="511"/>
      <c r="W72" s="512"/>
      <c r="X72" s="512"/>
      <c r="Y72" s="512"/>
      <c r="Z72" s="512"/>
      <c r="AA72" s="513" t="s">
        <v>319</v>
      </c>
      <c r="AB72" s="514">
        <f>IF(AB64=0,0,AB71)</f>
        <v>0</v>
      </c>
      <c r="AC72" s="404"/>
    </row>
    <row r="73" spans="1:248" ht="15" customHeight="1" x14ac:dyDescent="0.2">
      <c r="C73" s="212"/>
      <c r="D73" s="227" t="s">
        <v>120</v>
      </c>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404"/>
    </row>
    <row r="74" spans="1:248" ht="18" x14ac:dyDescent="0.2">
      <c r="D74" s="843"/>
      <c r="E74" s="843"/>
      <c r="F74" s="843"/>
      <c r="G74" s="843"/>
      <c r="H74" s="843"/>
      <c r="I74" s="843"/>
      <c r="J74" s="843"/>
      <c r="K74" s="843"/>
      <c r="L74" s="843"/>
      <c r="M74" s="843"/>
      <c r="N74" s="843"/>
      <c r="O74" s="843"/>
      <c r="P74" s="843"/>
      <c r="Q74" s="843"/>
      <c r="R74" s="843"/>
      <c r="S74" s="843"/>
      <c r="T74" s="843"/>
      <c r="U74" s="843"/>
      <c r="V74" s="843"/>
      <c r="W74" s="843"/>
      <c r="X74" s="843"/>
      <c r="Y74" s="843"/>
      <c r="Z74" s="843"/>
      <c r="AA74" s="843"/>
      <c r="AB74" s="843"/>
      <c r="BW74" s="440"/>
      <c r="BX74" s="440"/>
      <c r="BY74" s="440"/>
      <c r="BZ74" s="440"/>
      <c r="CA74" s="440"/>
      <c r="CB74" s="440"/>
      <c r="CC74" s="440"/>
      <c r="CD74" s="440"/>
      <c r="CE74" s="440"/>
      <c r="CF74" s="440"/>
      <c r="CG74" s="440"/>
      <c r="CH74" s="440"/>
      <c r="CI74" s="440"/>
      <c r="CJ74" s="440"/>
      <c r="CK74" s="440"/>
      <c r="CL74" s="440"/>
      <c r="CM74" s="440"/>
      <c r="CN74" s="440"/>
      <c r="CO74" s="440"/>
      <c r="CP74" s="440"/>
      <c r="CQ74" s="440"/>
      <c r="CR74" s="440"/>
      <c r="CS74" s="440"/>
      <c r="CT74" s="440"/>
      <c r="DX74" s="435"/>
    </row>
    <row r="75" spans="1:248" ht="36.75" customHeight="1" x14ac:dyDescent="0.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BW75" s="440"/>
      <c r="BX75" s="440"/>
      <c r="BY75" s="440"/>
      <c r="BZ75" s="440"/>
      <c r="CA75" s="440"/>
      <c r="CB75" s="440"/>
      <c r="CC75" s="440"/>
      <c r="CD75" s="440"/>
      <c r="CE75" s="440"/>
      <c r="CF75" s="440"/>
      <c r="CG75" s="440"/>
      <c r="CH75" s="440"/>
      <c r="CI75" s="440"/>
      <c r="CJ75" s="440"/>
      <c r="CK75" s="440"/>
      <c r="CL75" s="440"/>
      <c r="CM75" s="440"/>
      <c r="CN75" s="440"/>
      <c r="CO75" s="440"/>
      <c r="CP75" s="440"/>
      <c r="CQ75" s="440"/>
      <c r="CR75" s="440"/>
      <c r="CS75" s="440"/>
      <c r="CT75" s="440"/>
      <c r="DX75" s="435"/>
    </row>
    <row r="76" spans="1:248" s="321" customFormat="1" ht="15.75" customHeight="1" x14ac:dyDescent="0.2">
      <c r="A76" s="339"/>
      <c r="AC76" s="362"/>
      <c r="AD76" s="385"/>
      <c r="AE76" s="443"/>
      <c r="AF76" s="436"/>
      <c r="AG76" s="436"/>
      <c r="AH76" s="436"/>
      <c r="AI76" s="436"/>
      <c r="AJ76" s="436"/>
      <c r="AK76" s="436"/>
      <c r="AL76" s="436"/>
      <c r="AM76" s="436"/>
      <c r="AN76" s="436"/>
      <c r="AO76" s="436"/>
      <c r="AP76" s="436"/>
      <c r="AQ76" s="436"/>
      <c r="AR76" s="436"/>
      <c r="AS76" s="436"/>
      <c r="AT76" s="414"/>
      <c r="AU76" s="414"/>
      <c r="AV76" s="414"/>
      <c r="AW76" s="414"/>
      <c r="AX76" s="414"/>
      <c r="AY76" s="414"/>
      <c r="AZ76" s="414"/>
      <c r="BA76" s="414"/>
      <c r="BB76" s="414"/>
      <c r="BC76" s="414"/>
      <c r="BD76" s="414"/>
      <c r="BE76" s="414"/>
      <c r="BF76" s="414"/>
      <c r="BG76" s="414"/>
      <c r="BH76" s="414"/>
      <c r="BI76" s="414"/>
      <c r="BJ76" s="414"/>
      <c r="BK76" s="414"/>
      <c r="BL76" s="414"/>
      <c r="BM76" s="414"/>
      <c r="BN76" s="414"/>
      <c r="BO76" s="414"/>
      <c r="BP76" s="414"/>
      <c r="BQ76" s="414"/>
      <c r="BR76" s="437" t="str">
        <f>IFERROR(BR93/BR94,"")</f>
        <v/>
      </c>
      <c r="BS76" s="414"/>
      <c r="BT76" s="414"/>
      <c r="BU76" s="414"/>
      <c r="BV76" s="414"/>
      <c r="BW76" s="436">
        <f>SUMIF(BV32:BV62,"&lt;=2",BW32:BW62)</f>
        <v>0</v>
      </c>
      <c r="BX76" s="436"/>
      <c r="BY76" s="436">
        <f>SUMIF(BX32:BX62,"&lt;=2",BY32:BY62)</f>
        <v>0</v>
      </c>
      <c r="BZ76" s="436"/>
      <c r="CA76" s="436">
        <f>SUMIF(BZ32:BZ62,"&lt;=2",CA32:CA62)</f>
        <v>0</v>
      </c>
      <c r="CB76" s="436"/>
      <c r="CC76" s="436">
        <f>SUMIF(CB32:CB62,"&lt;=2",CC32:CC62)</f>
        <v>0</v>
      </c>
      <c r="CD76" s="436"/>
      <c r="CE76" s="436">
        <f>SUMIF(CD$32:CD$62,"&lt;=2",CE$32:CE$62)</f>
        <v>0</v>
      </c>
      <c r="CF76" s="436"/>
      <c r="CG76" s="436">
        <f>SUMIF(CF32:CF62,"&lt;=2",CG32:CG62)</f>
        <v>0</v>
      </c>
      <c r="CH76" s="436"/>
      <c r="CI76" s="436">
        <f>SUMIF(CH32:CH62,"&lt;=2",CI32:CI62)</f>
        <v>0</v>
      </c>
      <c r="CJ76" s="436"/>
      <c r="CK76" s="436">
        <f>SUMIF(CJ32:CJ62,"&lt;=2",CK32:CK62)</f>
        <v>0</v>
      </c>
      <c r="CL76" s="436"/>
      <c r="CM76" s="436">
        <f>SUMIF(CL32:CL62,"&lt;=2",CM32:CM62)</f>
        <v>0</v>
      </c>
      <c r="CN76" s="436"/>
      <c r="CO76" s="436">
        <f>SUMIF(CN32:CN62,"&lt;=2",CO32:CO62)</f>
        <v>0</v>
      </c>
      <c r="CP76" s="436"/>
      <c r="CQ76" s="436">
        <f>SUMIF(CP32:CP62,"&lt;=2",CQ32:CQ62)</f>
        <v>0</v>
      </c>
      <c r="CR76" s="436"/>
      <c r="CS76" s="436">
        <f>SUMIF(CR32:CR62,"&lt;=2",CS32:CS62)</f>
        <v>0</v>
      </c>
      <c r="CT76" s="436"/>
      <c r="CU76" s="444">
        <f>SUM(BW76:CS76)</f>
        <v>0</v>
      </c>
      <c r="CV76" s="444"/>
      <c r="CW76" s="415"/>
      <c r="CX76" s="415"/>
      <c r="CY76" s="415"/>
      <c r="CZ76" s="415"/>
      <c r="DA76" s="415"/>
      <c r="DB76" s="415"/>
      <c r="DC76" s="415"/>
      <c r="DD76" s="415"/>
      <c r="DE76" s="415"/>
      <c r="DF76" s="415"/>
      <c r="DG76" s="415"/>
      <c r="DH76" s="415"/>
      <c r="DI76" s="415"/>
      <c r="DJ76" s="414"/>
      <c r="DK76" s="414"/>
      <c r="DL76" s="414"/>
      <c r="DM76" s="414"/>
      <c r="DN76" s="414"/>
      <c r="DO76" s="414"/>
      <c r="DP76" s="414"/>
      <c r="DQ76" s="414"/>
      <c r="DR76" s="414"/>
      <c r="DS76" s="414"/>
      <c r="DT76" s="414"/>
      <c r="DU76" s="414"/>
      <c r="DV76" s="415"/>
      <c r="DW76" s="415"/>
      <c r="DX76" s="415"/>
      <c r="DY76" s="415"/>
      <c r="DZ76" s="415"/>
      <c r="EA76" s="415"/>
      <c r="EB76" s="415"/>
      <c r="EC76" s="415"/>
      <c r="ED76" s="415"/>
      <c r="EE76" s="415"/>
      <c r="EF76" s="415"/>
      <c r="EG76" s="415"/>
      <c r="EH76" s="415"/>
      <c r="EI76" s="415"/>
      <c r="EJ76" s="415"/>
      <c r="EK76" s="414"/>
      <c r="EL76" s="414"/>
      <c r="EM76" s="414"/>
      <c r="EN76" s="414"/>
      <c r="EO76" s="414"/>
      <c r="EP76" s="414"/>
      <c r="EQ76" s="414"/>
      <c r="ER76" s="414"/>
      <c r="ES76" s="414"/>
      <c r="ET76" s="414"/>
      <c r="EU76" s="414"/>
      <c r="EV76" s="414"/>
      <c r="EW76" s="414"/>
      <c r="EX76" s="414"/>
      <c r="EY76" s="414"/>
      <c r="EZ76" s="414"/>
      <c r="FA76" s="414"/>
      <c r="FB76" s="414"/>
      <c r="FC76" s="414"/>
      <c r="FD76" s="414"/>
      <c r="FE76" s="414"/>
      <c r="FF76" s="414"/>
      <c r="FG76" s="414"/>
      <c r="FH76" s="414"/>
      <c r="FI76" s="415"/>
      <c r="FJ76" s="415"/>
      <c r="FK76" s="415"/>
      <c r="FL76" s="387"/>
      <c r="FM76" s="387"/>
      <c r="FN76" s="387"/>
      <c r="FO76" s="387"/>
      <c r="FP76" s="387"/>
      <c r="FQ76" s="387"/>
      <c r="FR76" s="387"/>
      <c r="FS76" s="387"/>
      <c r="FT76" s="387"/>
      <c r="FU76" s="387"/>
      <c r="FV76" s="387"/>
      <c r="FW76" s="387"/>
      <c r="FX76" s="387"/>
      <c r="FY76" s="387"/>
      <c r="FZ76" s="387"/>
      <c r="GA76" s="387"/>
      <c r="GB76" s="387"/>
      <c r="GC76" s="387"/>
      <c r="GD76" s="387"/>
      <c r="GE76" s="387"/>
      <c r="GF76" s="387"/>
      <c r="GG76" s="387"/>
      <c r="GH76" s="387"/>
      <c r="GI76" s="387"/>
      <c r="GJ76" s="387"/>
      <c r="GK76" s="387"/>
      <c r="GL76" s="387"/>
      <c r="GM76" s="387"/>
      <c r="GN76" s="387"/>
      <c r="GO76" s="387"/>
      <c r="GP76" s="387"/>
      <c r="GQ76" s="387"/>
      <c r="GR76" s="387"/>
      <c r="GS76" s="387"/>
      <c r="GT76" s="387"/>
      <c r="GU76" s="387"/>
      <c r="GV76" s="387"/>
      <c r="GW76" s="387"/>
      <c r="GX76" s="387"/>
      <c r="GY76" s="387"/>
      <c r="GZ76" s="387"/>
      <c r="HA76" s="387"/>
      <c r="HB76" s="387"/>
      <c r="HC76" s="387"/>
      <c r="HD76" s="387"/>
      <c r="HE76" s="387"/>
      <c r="HF76" s="387"/>
      <c r="HG76" s="387"/>
      <c r="HH76" s="387"/>
      <c r="HI76" s="387"/>
      <c r="HJ76" s="387"/>
      <c r="HK76" s="387"/>
      <c r="HL76" s="387"/>
      <c r="HM76" s="387"/>
      <c r="HN76" s="387"/>
      <c r="HO76" s="387"/>
      <c r="HP76" s="387"/>
      <c r="HQ76" s="387"/>
      <c r="HR76" s="387"/>
      <c r="HS76" s="387"/>
      <c r="HT76" s="387"/>
      <c r="HU76" s="387"/>
      <c r="HV76" s="387"/>
      <c r="HW76" s="387"/>
      <c r="HX76" s="387"/>
      <c r="HY76" s="387"/>
      <c r="HZ76" s="387"/>
      <c r="IA76" s="387"/>
      <c r="IB76" s="387"/>
      <c r="IC76" s="387"/>
      <c r="ID76" s="387"/>
      <c r="IE76" s="327"/>
      <c r="IF76" s="327"/>
      <c r="IG76" s="327"/>
      <c r="IH76" s="327"/>
      <c r="II76" s="327"/>
      <c r="IJ76" s="327"/>
      <c r="IK76" s="327"/>
      <c r="IL76" s="327"/>
      <c r="IM76" s="327"/>
      <c r="IN76" s="327"/>
    </row>
    <row r="77" spans="1:248" s="321" customFormat="1" ht="15.75" customHeight="1" x14ac:dyDescent="0.2">
      <c r="A77" s="339"/>
      <c r="AC77" s="386"/>
      <c r="AD77" s="385"/>
      <c r="AE77" s="443"/>
      <c r="AF77" s="436"/>
      <c r="AG77" s="436"/>
      <c r="AH77" s="436"/>
      <c r="AI77" s="436"/>
      <c r="AJ77" s="436"/>
      <c r="AK77" s="436"/>
      <c r="AL77" s="436"/>
      <c r="AM77" s="436"/>
      <c r="AN77" s="436"/>
      <c r="AO77" s="436"/>
      <c r="AP77" s="436"/>
      <c r="AQ77" s="436"/>
      <c r="AR77" s="436"/>
      <c r="AS77" s="436"/>
      <c r="AT77" s="414"/>
      <c r="AU77" s="414"/>
      <c r="AV77" s="414"/>
      <c r="AW77" s="414"/>
      <c r="AX77" s="414"/>
      <c r="AY77" s="414"/>
      <c r="AZ77" s="414"/>
      <c r="BA77" s="414"/>
      <c r="BB77" s="414"/>
      <c r="BC77" s="414"/>
      <c r="BD77" s="414"/>
      <c r="BE77" s="414"/>
      <c r="BF77" s="414"/>
      <c r="BG77" s="414"/>
      <c r="BH77" s="414"/>
      <c r="BI77" s="414"/>
      <c r="BJ77" s="414"/>
      <c r="BK77" s="414"/>
      <c r="BL77" s="414"/>
      <c r="BM77" s="414"/>
      <c r="BN77" s="414"/>
      <c r="BO77" s="414"/>
      <c r="BP77" s="414"/>
      <c r="BQ77" s="414"/>
      <c r="BR77" s="414"/>
      <c r="BS77" s="414"/>
      <c r="BT77" s="414"/>
      <c r="BU77" s="414"/>
      <c r="BV77" s="414"/>
      <c r="BW77" s="436"/>
      <c r="BX77" s="436"/>
      <c r="BY77" s="436"/>
      <c r="BZ77" s="436"/>
      <c r="CA77" s="436"/>
      <c r="CB77" s="436"/>
      <c r="CC77" s="436"/>
      <c r="CD77" s="436"/>
      <c r="CE77" s="436"/>
      <c r="CF77" s="436"/>
      <c r="CG77" s="436"/>
      <c r="CH77" s="436"/>
      <c r="CI77" s="436"/>
      <c r="CJ77" s="436"/>
      <c r="CK77" s="436"/>
      <c r="CL77" s="436"/>
      <c r="CM77" s="436"/>
      <c r="CN77" s="436"/>
      <c r="CO77" s="436"/>
      <c r="CP77" s="436"/>
      <c r="CQ77" s="436"/>
      <c r="CR77" s="436"/>
      <c r="CS77" s="436"/>
      <c r="CT77" s="436"/>
      <c r="CU77" s="436"/>
      <c r="CV77" s="436"/>
      <c r="CW77" s="415"/>
      <c r="CX77" s="415"/>
      <c r="CY77" s="415"/>
      <c r="CZ77" s="415"/>
      <c r="DA77" s="415"/>
      <c r="DB77" s="415"/>
      <c r="DC77" s="415"/>
      <c r="DD77" s="415"/>
      <c r="DE77" s="415"/>
      <c r="DF77" s="415"/>
      <c r="DG77" s="415"/>
      <c r="DH77" s="415"/>
      <c r="DI77" s="415"/>
      <c r="DJ77" s="414"/>
      <c r="DK77" s="414"/>
      <c r="DL77" s="414"/>
      <c r="DM77" s="414"/>
      <c r="DN77" s="414"/>
      <c r="DO77" s="414"/>
      <c r="DP77" s="414"/>
      <c r="DQ77" s="414"/>
      <c r="DR77" s="414"/>
      <c r="DS77" s="414"/>
      <c r="DT77" s="414"/>
      <c r="DU77" s="414"/>
      <c r="DV77" s="415"/>
      <c r="DW77" s="415"/>
      <c r="DX77" s="415"/>
      <c r="DY77" s="415"/>
      <c r="DZ77" s="415"/>
      <c r="EA77" s="415"/>
      <c r="EB77" s="415"/>
      <c r="EC77" s="415"/>
      <c r="ED77" s="415"/>
      <c r="EE77" s="415"/>
      <c r="EF77" s="415"/>
      <c r="EG77" s="415"/>
      <c r="EH77" s="415"/>
      <c r="EI77" s="415"/>
      <c r="EJ77" s="415"/>
      <c r="EK77" s="414"/>
      <c r="EL77" s="414"/>
      <c r="EM77" s="414"/>
      <c r="EN77" s="414"/>
      <c r="EO77" s="414"/>
      <c r="EP77" s="414"/>
      <c r="EQ77" s="414"/>
      <c r="ER77" s="414"/>
      <c r="ES77" s="414"/>
      <c r="ET77" s="414"/>
      <c r="EU77" s="414"/>
      <c r="EV77" s="414"/>
      <c r="EW77" s="414"/>
      <c r="EX77" s="414"/>
      <c r="EY77" s="414"/>
      <c r="EZ77" s="414"/>
      <c r="FA77" s="414"/>
      <c r="FB77" s="414"/>
      <c r="FC77" s="414"/>
      <c r="FD77" s="414"/>
      <c r="FE77" s="414"/>
      <c r="FF77" s="414"/>
      <c r="FG77" s="414"/>
      <c r="FH77" s="414"/>
      <c r="FI77" s="415"/>
      <c r="FJ77" s="415"/>
      <c r="FK77" s="415"/>
      <c r="FL77" s="387"/>
      <c r="FM77" s="387"/>
      <c r="FN77" s="387"/>
      <c r="FO77" s="387"/>
      <c r="FP77" s="387"/>
      <c r="FQ77" s="387"/>
      <c r="FR77" s="387"/>
      <c r="FS77" s="387"/>
      <c r="FT77" s="387"/>
      <c r="FU77" s="387"/>
      <c r="FV77" s="387"/>
      <c r="FW77" s="387"/>
      <c r="FX77" s="387"/>
      <c r="FY77" s="387"/>
      <c r="FZ77" s="387"/>
      <c r="GA77" s="387"/>
      <c r="GB77" s="387"/>
      <c r="GC77" s="387"/>
      <c r="GD77" s="387"/>
      <c r="GE77" s="387"/>
      <c r="GF77" s="387"/>
      <c r="GG77" s="387"/>
      <c r="GH77" s="387"/>
      <c r="GI77" s="387"/>
      <c r="GJ77" s="387"/>
      <c r="GK77" s="387"/>
      <c r="GL77" s="387"/>
      <c r="GM77" s="387"/>
      <c r="GN77" s="387"/>
      <c r="GO77" s="387"/>
      <c r="GP77" s="387"/>
      <c r="GQ77" s="387"/>
      <c r="GR77" s="387"/>
      <c r="GS77" s="387"/>
      <c r="GT77" s="387"/>
      <c r="GU77" s="387"/>
      <c r="GV77" s="387"/>
      <c r="GW77" s="387"/>
      <c r="GX77" s="387"/>
      <c r="GY77" s="387"/>
      <c r="GZ77" s="387"/>
      <c r="HA77" s="387"/>
      <c r="HB77" s="387"/>
      <c r="HC77" s="387"/>
      <c r="HD77" s="387"/>
      <c r="HE77" s="387"/>
      <c r="HF77" s="387"/>
      <c r="HG77" s="387"/>
      <c r="HH77" s="387"/>
      <c r="HI77" s="387"/>
      <c r="HJ77" s="387"/>
      <c r="HK77" s="387"/>
      <c r="HL77" s="387"/>
      <c r="HM77" s="387"/>
      <c r="HN77" s="387"/>
      <c r="HO77" s="387"/>
      <c r="HP77" s="387"/>
      <c r="HQ77" s="387"/>
      <c r="HR77" s="387"/>
      <c r="HS77" s="387"/>
      <c r="HT77" s="387"/>
      <c r="HU77" s="387"/>
      <c r="HV77" s="387"/>
      <c r="HW77" s="387"/>
      <c r="HX77" s="387"/>
      <c r="HY77" s="387"/>
      <c r="HZ77" s="387"/>
      <c r="IA77" s="387"/>
      <c r="IB77" s="387"/>
      <c r="IC77" s="387"/>
      <c r="ID77" s="387"/>
      <c r="IE77" s="327"/>
      <c r="IF77" s="327"/>
      <c r="IG77" s="327"/>
      <c r="IH77" s="327"/>
      <c r="II77" s="327"/>
      <c r="IJ77" s="327"/>
      <c r="IK77" s="327"/>
      <c r="IL77" s="327"/>
      <c r="IM77" s="327"/>
      <c r="IN77" s="327"/>
    </row>
    <row r="78" spans="1:248" s="321" customFormat="1" ht="15.75" customHeight="1" x14ac:dyDescent="0.2">
      <c r="A78" s="339"/>
      <c r="AC78" s="386"/>
      <c r="AD78" s="385"/>
      <c r="AE78" s="443"/>
      <c r="AF78" s="436"/>
      <c r="AG78" s="436"/>
      <c r="AH78" s="436"/>
      <c r="AI78" s="436"/>
      <c r="AJ78" s="436"/>
      <c r="AK78" s="436"/>
      <c r="AL78" s="436"/>
      <c r="AM78" s="436"/>
      <c r="AN78" s="436"/>
      <c r="AO78" s="436"/>
      <c r="AP78" s="436"/>
      <c r="AQ78" s="436"/>
      <c r="AR78" s="436"/>
      <c r="AS78" s="436"/>
      <c r="AT78" s="414"/>
      <c r="AU78" s="414"/>
      <c r="AV78" s="414"/>
      <c r="AW78" s="414"/>
      <c r="AX78" s="414"/>
      <c r="AY78" s="414"/>
      <c r="AZ78" s="414"/>
      <c r="BA78" s="414"/>
      <c r="BB78" s="414"/>
      <c r="BC78" s="414"/>
      <c r="BD78" s="414"/>
      <c r="BE78" s="414"/>
      <c r="BF78" s="414"/>
      <c r="BG78" s="414"/>
      <c r="BH78" s="414"/>
      <c r="BI78" s="414"/>
      <c r="BJ78" s="414"/>
      <c r="BK78" s="414"/>
      <c r="BL78" s="414"/>
      <c r="BM78" s="414"/>
      <c r="BN78" s="414"/>
      <c r="BO78" s="414"/>
      <c r="BP78" s="414"/>
      <c r="BQ78" s="414"/>
      <c r="BR78" s="414"/>
      <c r="BS78" s="414"/>
      <c r="BT78" s="414"/>
      <c r="BU78" s="414"/>
      <c r="BV78" s="414"/>
      <c r="BW78" s="436">
        <f>IF(BW94=0,0,BW76/BW94*31)</f>
        <v>0</v>
      </c>
      <c r="BX78" s="436"/>
      <c r="BY78" s="436">
        <f>IF(BY94=0,0,BY76/BY94*28)</f>
        <v>0</v>
      </c>
      <c r="BZ78" s="436"/>
      <c r="CA78" s="436">
        <f>IF(CA94=0,0,CA76/CA94*31)</f>
        <v>0</v>
      </c>
      <c r="CB78" s="436"/>
      <c r="CC78" s="436">
        <f>IF(CC94=0,0,CC76/CC94*30)</f>
        <v>0</v>
      </c>
      <c r="CD78" s="436"/>
      <c r="CE78" s="436">
        <f>IF(CE94=0,0,CE76/CE94*31)</f>
        <v>0</v>
      </c>
      <c r="CF78" s="436"/>
      <c r="CG78" s="436">
        <f>IF(CG94=0,0,CG76/CG94*30)</f>
        <v>0</v>
      </c>
      <c r="CH78" s="436"/>
      <c r="CI78" s="436">
        <f>IF(CI94=0,0,CI76/CI94*31)</f>
        <v>0</v>
      </c>
      <c r="CJ78" s="436"/>
      <c r="CK78" s="436">
        <f>IF(CK94=0,0,CK76/CK94*31)</f>
        <v>0</v>
      </c>
      <c r="CL78" s="436"/>
      <c r="CM78" s="436">
        <f>IF(CM94=0,0,CM76/CM94*30)</f>
        <v>0</v>
      </c>
      <c r="CN78" s="436"/>
      <c r="CO78" s="436">
        <f>IF(CO94=0,0,CO76/CO94*31)</f>
        <v>0</v>
      </c>
      <c r="CP78" s="436"/>
      <c r="CQ78" s="436">
        <f>IF(CQ94=0,0,CQ76/CQ94*30)</f>
        <v>0</v>
      </c>
      <c r="CR78" s="436"/>
      <c r="CS78" s="436">
        <f>IF(CS94=0,0,CS76/CS94*31)</f>
        <v>0</v>
      </c>
      <c r="CT78" s="436"/>
      <c r="CU78" s="436">
        <f>SUM(BW78:CS78)</f>
        <v>0</v>
      </c>
      <c r="CV78" s="436"/>
      <c r="CW78" s="415"/>
      <c r="CX78" s="415"/>
      <c r="CY78" s="415"/>
      <c r="CZ78" s="415"/>
      <c r="DA78" s="415"/>
      <c r="DB78" s="415"/>
      <c r="DC78" s="415"/>
      <c r="DD78" s="415"/>
      <c r="DE78" s="415"/>
      <c r="DF78" s="415"/>
      <c r="DG78" s="415"/>
      <c r="DH78" s="415"/>
      <c r="DI78" s="415"/>
      <c r="DJ78" s="414"/>
      <c r="DK78" s="414"/>
      <c r="DL78" s="414"/>
      <c r="DM78" s="414"/>
      <c r="DN78" s="414"/>
      <c r="DO78" s="414"/>
      <c r="DP78" s="414"/>
      <c r="DQ78" s="414"/>
      <c r="DR78" s="414"/>
      <c r="DS78" s="414"/>
      <c r="DT78" s="414"/>
      <c r="DU78" s="414"/>
      <c r="DV78" s="415"/>
      <c r="DW78" s="415"/>
      <c r="DX78" s="415"/>
      <c r="DY78" s="415"/>
      <c r="DZ78" s="415"/>
      <c r="EA78" s="415"/>
      <c r="EB78" s="415"/>
      <c r="EC78" s="415"/>
      <c r="ED78" s="415"/>
      <c r="EE78" s="415"/>
      <c r="EF78" s="415"/>
      <c r="EG78" s="415"/>
      <c r="EH78" s="415"/>
      <c r="EI78" s="415"/>
      <c r="EJ78" s="415"/>
      <c r="EK78" s="414"/>
      <c r="EL78" s="414"/>
      <c r="EM78" s="414"/>
      <c r="EN78" s="414"/>
      <c r="EO78" s="414"/>
      <c r="EP78" s="414"/>
      <c r="EQ78" s="414"/>
      <c r="ER78" s="414"/>
      <c r="ES78" s="414"/>
      <c r="ET78" s="414"/>
      <c r="EU78" s="414"/>
      <c r="EV78" s="414"/>
      <c r="EW78" s="414"/>
      <c r="EX78" s="414"/>
      <c r="EY78" s="414"/>
      <c r="EZ78" s="414"/>
      <c r="FA78" s="414"/>
      <c r="FB78" s="414"/>
      <c r="FC78" s="414"/>
      <c r="FD78" s="414"/>
      <c r="FE78" s="414"/>
      <c r="FF78" s="414"/>
      <c r="FG78" s="414"/>
      <c r="FH78" s="414"/>
      <c r="FI78" s="415"/>
      <c r="FJ78" s="415"/>
      <c r="FK78" s="415"/>
      <c r="FL78" s="387"/>
      <c r="FM78" s="387"/>
      <c r="FN78" s="387"/>
      <c r="FO78" s="387"/>
      <c r="FP78" s="387"/>
      <c r="FQ78" s="387"/>
      <c r="FR78" s="387"/>
      <c r="FS78" s="387"/>
      <c r="FT78" s="387"/>
      <c r="FU78" s="387"/>
      <c r="FV78" s="387"/>
      <c r="FW78" s="387"/>
      <c r="FX78" s="387"/>
      <c r="FY78" s="387"/>
      <c r="FZ78" s="387"/>
      <c r="GA78" s="387"/>
      <c r="GB78" s="387"/>
      <c r="GC78" s="387"/>
      <c r="GD78" s="387"/>
      <c r="GE78" s="387"/>
      <c r="GF78" s="387"/>
      <c r="GG78" s="387"/>
      <c r="GH78" s="387"/>
      <c r="GI78" s="387"/>
      <c r="GJ78" s="387"/>
      <c r="GK78" s="387"/>
      <c r="GL78" s="387"/>
      <c r="GM78" s="387"/>
      <c r="GN78" s="387"/>
      <c r="GO78" s="387"/>
      <c r="GP78" s="387"/>
      <c r="GQ78" s="387"/>
      <c r="GR78" s="387"/>
      <c r="GS78" s="387"/>
      <c r="GT78" s="387"/>
      <c r="GU78" s="387"/>
      <c r="GV78" s="387"/>
      <c r="GW78" s="387"/>
      <c r="GX78" s="387"/>
      <c r="GY78" s="387"/>
      <c r="GZ78" s="387"/>
      <c r="HA78" s="387"/>
      <c r="HB78" s="387"/>
      <c r="HC78" s="387"/>
      <c r="HD78" s="387"/>
      <c r="HE78" s="387"/>
      <c r="HF78" s="387"/>
      <c r="HG78" s="387"/>
      <c r="HH78" s="387"/>
      <c r="HI78" s="387"/>
      <c r="HJ78" s="387"/>
      <c r="HK78" s="387"/>
      <c r="HL78" s="387"/>
      <c r="HM78" s="387"/>
      <c r="HN78" s="387"/>
      <c r="HO78" s="387"/>
      <c r="HP78" s="387"/>
      <c r="HQ78" s="387"/>
      <c r="HR78" s="387"/>
      <c r="HS78" s="387"/>
      <c r="HT78" s="387"/>
      <c r="HU78" s="387"/>
      <c r="HV78" s="387"/>
      <c r="HW78" s="387"/>
      <c r="HX78" s="387"/>
      <c r="HY78" s="387"/>
      <c r="HZ78" s="387"/>
      <c r="IA78" s="387"/>
      <c r="IB78" s="387"/>
      <c r="IC78" s="387"/>
      <c r="ID78" s="387"/>
      <c r="IE78" s="327"/>
      <c r="IF78" s="327"/>
      <c r="IG78" s="327"/>
      <c r="IH78" s="327"/>
      <c r="II78" s="327"/>
      <c r="IJ78" s="327"/>
      <c r="IK78" s="327"/>
      <c r="IL78" s="327"/>
      <c r="IM78" s="327"/>
      <c r="IN78" s="327"/>
    </row>
    <row r="79" spans="1:248" s="321" customFormat="1" ht="15.75" customHeight="1" x14ac:dyDescent="0.25">
      <c r="A79" s="339"/>
      <c r="E79" s="476" t="str">
        <f>IF(AB84=365," ","Achtung, es besteht die Möglichkeit, dass beim Einkopieren von Daten ein Fehler entstanden ist. Anhand der Anzahl der Messtage überprüfen.")</f>
        <v>Achtung, es besteht die Möglichkeit, dass beim Einkopieren von Daten ein Fehler entstanden ist. Anhand der Anzahl der Messtage überprüfen.</v>
      </c>
      <c r="AC79" s="386"/>
      <c r="AD79" s="385"/>
      <c r="AE79" s="443"/>
      <c r="AF79" s="436"/>
      <c r="AG79" s="436"/>
      <c r="AH79" s="436"/>
      <c r="AI79" s="436"/>
      <c r="AJ79" s="436"/>
      <c r="AK79" s="436"/>
      <c r="AL79" s="436"/>
      <c r="AM79" s="436"/>
      <c r="AN79" s="436"/>
      <c r="AO79" s="436"/>
      <c r="AP79" s="436"/>
      <c r="AQ79" s="436"/>
      <c r="AR79" s="436"/>
      <c r="AS79" s="436"/>
      <c r="AT79" s="414"/>
      <c r="AU79" s="414"/>
      <c r="AV79" s="414"/>
      <c r="AW79" s="414"/>
      <c r="AX79" s="414"/>
      <c r="AY79" s="414"/>
      <c r="AZ79" s="414"/>
      <c r="BA79" s="414"/>
      <c r="BB79" s="414"/>
      <c r="BC79" s="414"/>
      <c r="BD79" s="414"/>
      <c r="BE79" s="414"/>
      <c r="BF79" s="414"/>
      <c r="BG79" s="414"/>
      <c r="BH79" s="414"/>
      <c r="BI79" s="414"/>
      <c r="BJ79" s="414"/>
      <c r="BK79" s="414"/>
      <c r="BL79" s="414"/>
      <c r="BM79" s="414"/>
      <c r="BN79" s="414"/>
      <c r="BO79" s="414"/>
      <c r="BP79" s="414"/>
      <c r="BQ79" s="414"/>
      <c r="BR79" s="414"/>
      <c r="BS79" s="414"/>
      <c r="BT79" s="414"/>
      <c r="BU79" s="414"/>
      <c r="BV79" s="414"/>
      <c r="BW79" s="436"/>
      <c r="BX79" s="436"/>
      <c r="BY79" s="436"/>
      <c r="BZ79" s="436"/>
      <c r="CA79" s="436"/>
      <c r="CB79" s="436"/>
      <c r="CC79" s="436"/>
      <c r="CD79" s="436"/>
      <c r="CE79" s="436"/>
      <c r="CF79" s="436"/>
      <c r="CG79" s="436"/>
      <c r="CH79" s="436"/>
      <c r="CI79" s="436"/>
      <c r="CJ79" s="436"/>
      <c r="CK79" s="436"/>
      <c r="CL79" s="436"/>
      <c r="CM79" s="436"/>
      <c r="CN79" s="436"/>
      <c r="CO79" s="436"/>
      <c r="CP79" s="436"/>
      <c r="CQ79" s="436"/>
      <c r="CR79" s="436"/>
      <c r="CS79" s="436"/>
      <c r="CT79" s="436"/>
      <c r="CU79" s="436"/>
      <c r="CV79" s="436"/>
      <c r="CW79" s="415"/>
      <c r="CX79" s="415"/>
      <c r="CY79" s="415"/>
      <c r="CZ79" s="415"/>
      <c r="DA79" s="415"/>
      <c r="DB79" s="415"/>
      <c r="DC79" s="415"/>
      <c r="DD79" s="415"/>
      <c r="DE79" s="415"/>
      <c r="DF79" s="415"/>
      <c r="DG79" s="415"/>
      <c r="DH79" s="415"/>
      <c r="DI79" s="415"/>
      <c r="DJ79" s="414"/>
      <c r="DK79" s="414"/>
      <c r="DL79" s="414"/>
      <c r="DM79" s="414"/>
      <c r="DN79" s="414"/>
      <c r="DO79" s="414"/>
      <c r="DP79" s="414"/>
      <c r="DQ79" s="414"/>
      <c r="DR79" s="414"/>
      <c r="DS79" s="414"/>
      <c r="DT79" s="414"/>
      <c r="DU79" s="414"/>
      <c r="DV79" s="415"/>
      <c r="DW79" s="415"/>
      <c r="DX79" s="415"/>
      <c r="DY79" s="415"/>
      <c r="DZ79" s="415"/>
      <c r="EA79" s="415"/>
      <c r="EB79" s="415"/>
      <c r="EC79" s="415"/>
      <c r="ED79" s="415"/>
      <c r="EE79" s="415"/>
      <c r="EF79" s="415"/>
      <c r="EG79" s="415"/>
      <c r="EH79" s="415"/>
      <c r="EI79" s="415"/>
      <c r="EJ79" s="415"/>
      <c r="EK79" s="414"/>
      <c r="EL79" s="414"/>
      <c r="EM79" s="414"/>
      <c r="EN79" s="414"/>
      <c r="EO79" s="414"/>
      <c r="EP79" s="414"/>
      <c r="EQ79" s="414"/>
      <c r="ER79" s="414"/>
      <c r="ES79" s="414"/>
      <c r="ET79" s="414"/>
      <c r="EU79" s="414"/>
      <c r="EV79" s="414"/>
      <c r="EW79" s="414"/>
      <c r="EX79" s="414"/>
      <c r="EY79" s="414"/>
      <c r="EZ79" s="414"/>
      <c r="FA79" s="414"/>
      <c r="FB79" s="414"/>
      <c r="FC79" s="414"/>
      <c r="FD79" s="414"/>
      <c r="FE79" s="414"/>
      <c r="FF79" s="414"/>
      <c r="FG79" s="414"/>
      <c r="FH79" s="414"/>
      <c r="FI79" s="415"/>
      <c r="FJ79" s="415"/>
      <c r="FK79" s="415"/>
      <c r="FL79" s="387"/>
      <c r="FM79" s="387"/>
      <c r="FN79" s="387"/>
      <c r="FO79" s="387"/>
      <c r="FP79" s="387"/>
      <c r="FQ79" s="387"/>
      <c r="FR79" s="387"/>
      <c r="FS79" s="387"/>
      <c r="FT79" s="387"/>
      <c r="FU79" s="387"/>
      <c r="FV79" s="387"/>
      <c r="FW79" s="387"/>
      <c r="FX79" s="387"/>
      <c r="FY79" s="387"/>
      <c r="FZ79" s="387"/>
      <c r="GA79" s="387"/>
      <c r="GB79" s="387"/>
      <c r="GC79" s="387"/>
      <c r="GD79" s="387"/>
      <c r="GE79" s="387"/>
      <c r="GF79" s="387"/>
      <c r="GG79" s="387"/>
      <c r="GH79" s="387"/>
      <c r="GI79" s="387"/>
      <c r="GJ79" s="387"/>
      <c r="GK79" s="387"/>
      <c r="GL79" s="387"/>
      <c r="GM79" s="387"/>
      <c r="GN79" s="387"/>
      <c r="GO79" s="387"/>
      <c r="GP79" s="387"/>
      <c r="GQ79" s="387"/>
      <c r="GR79" s="387"/>
      <c r="GS79" s="387"/>
      <c r="GT79" s="387"/>
      <c r="GU79" s="387"/>
      <c r="GV79" s="387"/>
      <c r="GW79" s="387"/>
      <c r="GX79" s="387"/>
      <c r="GY79" s="387"/>
      <c r="GZ79" s="387"/>
      <c r="HA79" s="387"/>
      <c r="HB79" s="387"/>
      <c r="HC79" s="387"/>
      <c r="HD79" s="387"/>
      <c r="HE79" s="387"/>
      <c r="HF79" s="387"/>
      <c r="HG79" s="387"/>
      <c r="HH79" s="387"/>
      <c r="HI79" s="387"/>
      <c r="HJ79" s="387"/>
      <c r="HK79" s="387"/>
      <c r="HL79" s="387"/>
      <c r="HM79" s="387"/>
      <c r="HN79" s="387"/>
      <c r="HO79" s="387"/>
      <c r="HP79" s="387"/>
      <c r="HQ79" s="387"/>
      <c r="HR79" s="387"/>
      <c r="HS79" s="387"/>
      <c r="HT79" s="387"/>
      <c r="HU79" s="387"/>
      <c r="HV79" s="387"/>
      <c r="HW79" s="387"/>
      <c r="HX79" s="387"/>
      <c r="HY79" s="387"/>
      <c r="HZ79" s="387"/>
      <c r="IA79" s="387"/>
      <c r="IB79" s="387"/>
      <c r="IC79" s="387"/>
      <c r="ID79" s="387"/>
      <c r="IE79" s="327"/>
      <c r="IF79" s="327"/>
      <c r="IG79" s="327"/>
      <c r="IH79" s="327"/>
      <c r="II79" s="327"/>
      <c r="IJ79" s="327"/>
      <c r="IK79" s="327"/>
      <c r="IL79" s="327"/>
      <c r="IM79" s="327"/>
      <c r="IN79" s="327"/>
    </row>
    <row r="80" spans="1:248" s="321" customFormat="1" ht="21" customHeight="1" x14ac:dyDescent="0.2">
      <c r="A80" s="475"/>
      <c r="B80" s="449"/>
      <c r="C80" s="46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6"/>
      <c r="AC80" s="362"/>
      <c r="AD80" s="410"/>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40"/>
      <c r="BX80" s="440"/>
      <c r="BY80" s="440"/>
      <c r="BZ80" s="440"/>
      <c r="CA80" s="440"/>
      <c r="CB80" s="440"/>
      <c r="CC80" s="440"/>
      <c r="CD80" s="440"/>
      <c r="CE80" s="440"/>
      <c r="CF80" s="440"/>
      <c r="CG80" s="440"/>
      <c r="CH80" s="440"/>
      <c r="CI80" s="440"/>
      <c r="CJ80" s="440"/>
      <c r="CK80" s="440"/>
      <c r="CL80" s="440"/>
      <c r="CM80" s="440"/>
      <c r="CN80" s="440"/>
      <c r="CO80" s="440"/>
      <c r="CP80" s="440"/>
      <c r="CQ80" s="440"/>
      <c r="CR80" s="440"/>
      <c r="CS80" s="440"/>
      <c r="CT80" s="440"/>
      <c r="CU80" s="414"/>
      <c r="CV80" s="414"/>
      <c r="CW80" s="415"/>
      <c r="CX80" s="415"/>
      <c r="CY80" s="415"/>
      <c r="CZ80" s="415"/>
      <c r="DA80" s="415"/>
      <c r="DB80" s="415"/>
      <c r="DC80" s="415"/>
      <c r="DD80" s="415"/>
      <c r="DE80" s="415"/>
      <c r="DF80" s="415"/>
      <c r="DG80" s="415"/>
      <c r="DH80" s="415"/>
      <c r="DI80" s="415"/>
      <c r="DJ80" s="414"/>
      <c r="DK80" s="414"/>
      <c r="DL80" s="414"/>
      <c r="DM80" s="414"/>
      <c r="DN80" s="414"/>
      <c r="DO80" s="414"/>
      <c r="DP80" s="414"/>
      <c r="DQ80" s="414"/>
      <c r="DR80" s="414"/>
      <c r="DS80" s="414"/>
      <c r="DT80" s="414"/>
      <c r="DU80" s="414"/>
      <c r="DV80" s="415"/>
      <c r="DW80" s="415"/>
      <c r="DX80" s="442"/>
      <c r="DY80" s="415"/>
      <c r="DZ80" s="415"/>
      <c r="EA80" s="415"/>
      <c r="EB80" s="415"/>
      <c r="EC80" s="415"/>
      <c r="ED80" s="415"/>
      <c r="EE80" s="415"/>
      <c r="EF80" s="415"/>
      <c r="EG80" s="415"/>
      <c r="EH80" s="415"/>
      <c r="EI80" s="415"/>
      <c r="EJ80" s="415"/>
      <c r="EK80" s="414"/>
      <c r="EL80" s="414"/>
      <c r="EM80" s="414"/>
      <c r="EN80" s="414"/>
      <c r="EO80" s="414"/>
      <c r="EP80" s="414"/>
      <c r="EQ80" s="414"/>
      <c r="ER80" s="414"/>
      <c r="ES80" s="414"/>
      <c r="ET80" s="414"/>
      <c r="EU80" s="414"/>
      <c r="EV80" s="414"/>
      <c r="EW80" s="414"/>
      <c r="EX80" s="414"/>
      <c r="EY80" s="414"/>
      <c r="EZ80" s="414"/>
      <c r="FA80" s="414"/>
      <c r="FB80" s="414"/>
      <c r="FC80" s="414"/>
      <c r="FD80" s="414"/>
      <c r="FE80" s="414"/>
      <c r="FF80" s="414"/>
      <c r="FG80" s="414"/>
      <c r="FH80" s="414"/>
      <c r="FI80" s="415"/>
      <c r="FJ80" s="415"/>
      <c r="FK80" s="415"/>
      <c r="FL80" s="387"/>
      <c r="FM80" s="387"/>
      <c r="FN80" s="387"/>
      <c r="FO80" s="387"/>
      <c r="FP80" s="387"/>
      <c r="FQ80" s="387"/>
      <c r="FR80" s="387"/>
      <c r="FS80" s="387"/>
      <c r="FT80" s="387"/>
      <c r="FU80" s="387"/>
      <c r="FV80" s="387"/>
      <c r="FW80" s="387"/>
      <c r="FX80" s="387"/>
      <c r="FY80" s="387"/>
      <c r="FZ80" s="387"/>
      <c r="GA80" s="387"/>
      <c r="GB80" s="387"/>
      <c r="GC80" s="387"/>
      <c r="GD80" s="387"/>
      <c r="GE80" s="387"/>
      <c r="GF80" s="387"/>
      <c r="GG80" s="387"/>
      <c r="GH80" s="387"/>
      <c r="GI80" s="387"/>
      <c r="GJ80" s="387"/>
      <c r="GK80" s="387"/>
      <c r="GL80" s="387"/>
      <c r="GM80" s="387"/>
      <c r="GN80" s="387"/>
      <c r="GO80" s="387"/>
      <c r="GP80" s="387"/>
      <c r="GQ80" s="387"/>
      <c r="GR80" s="387"/>
      <c r="GS80" s="387"/>
      <c r="GT80" s="387"/>
      <c r="GU80" s="387"/>
      <c r="GV80" s="387"/>
      <c r="GW80" s="387"/>
      <c r="GX80" s="387"/>
      <c r="GY80" s="387"/>
      <c r="GZ80" s="387"/>
      <c r="HA80" s="387"/>
      <c r="HB80" s="387"/>
      <c r="HC80" s="387"/>
      <c r="HD80" s="387"/>
      <c r="HE80" s="387"/>
      <c r="HF80" s="387"/>
      <c r="HG80" s="387"/>
      <c r="HH80" s="387"/>
      <c r="HI80" s="387"/>
      <c r="HJ80" s="387"/>
      <c r="HK80" s="387"/>
      <c r="HL80" s="387"/>
      <c r="HM80" s="387"/>
      <c r="HN80" s="387"/>
      <c r="HO80" s="387"/>
      <c r="HP80" s="387"/>
      <c r="HQ80" s="387"/>
      <c r="HR80" s="387"/>
      <c r="HS80" s="387"/>
      <c r="HT80" s="387"/>
      <c r="HU80" s="387"/>
      <c r="HV80" s="387"/>
      <c r="HW80" s="387"/>
      <c r="HX80" s="387"/>
      <c r="HY80" s="387"/>
      <c r="HZ80" s="387"/>
      <c r="IA80" s="387"/>
      <c r="IB80" s="387"/>
      <c r="IC80" s="387"/>
      <c r="ID80" s="387"/>
      <c r="IE80" s="327"/>
      <c r="IF80" s="327"/>
      <c r="IG80" s="327"/>
      <c r="IH80" s="327"/>
      <c r="II80" s="327"/>
      <c r="IJ80" s="327"/>
      <c r="IK80" s="327"/>
      <c r="IL80" s="327"/>
      <c r="IM80" s="327"/>
      <c r="IN80" s="327"/>
    </row>
    <row r="81" spans="1:248" s="321" customFormat="1" ht="21" customHeight="1" x14ac:dyDescent="0.2">
      <c r="A81" s="475"/>
      <c r="B81" s="449"/>
      <c r="C81" s="466"/>
      <c r="E81" s="466"/>
      <c r="F81" s="466"/>
      <c r="G81" s="466"/>
      <c r="H81" s="466"/>
      <c r="I81" s="466"/>
      <c r="J81" s="466"/>
      <c r="K81" s="466"/>
      <c r="L81" s="466"/>
      <c r="M81" s="466"/>
      <c r="N81" s="466"/>
      <c r="O81" s="466"/>
      <c r="P81" s="466"/>
      <c r="Q81" s="466"/>
      <c r="R81" s="466"/>
      <c r="S81" s="466"/>
      <c r="T81" s="466"/>
      <c r="U81" s="466"/>
      <c r="V81" s="466"/>
      <c r="W81" s="466"/>
      <c r="X81" s="466"/>
      <c r="Y81" s="466"/>
      <c r="Z81" s="466"/>
      <c r="AA81" s="466"/>
      <c r="AB81" s="466"/>
      <c r="AC81" s="362"/>
      <c r="AD81" s="410"/>
      <c r="AE81" s="414"/>
      <c r="AF81" s="414"/>
      <c r="AG81" s="414"/>
      <c r="AH81" s="414"/>
      <c r="AI81" s="414"/>
      <c r="AJ81" s="414"/>
      <c r="AK81" s="414"/>
      <c r="AL81" s="414"/>
      <c r="AM81" s="414"/>
      <c r="AN81" s="414"/>
      <c r="AO81" s="414"/>
      <c r="AP81" s="414"/>
      <c r="AQ81" s="414"/>
      <c r="AR81" s="414"/>
      <c r="AS81" s="414"/>
      <c r="AT81" s="414"/>
      <c r="AU81" s="414"/>
      <c r="AV81" s="414"/>
      <c r="AW81" s="414"/>
      <c r="AX81" s="414"/>
      <c r="AY81" s="414"/>
      <c r="AZ81" s="414"/>
      <c r="BA81" s="414"/>
      <c r="BB81" s="414"/>
      <c r="BC81" s="414"/>
      <c r="BD81" s="414"/>
      <c r="BE81" s="414"/>
      <c r="BF81" s="414"/>
      <c r="BG81" s="414"/>
      <c r="BH81" s="414"/>
      <c r="BI81" s="414"/>
      <c r="BJ81" s="414"/>
      <c r="BK81" s="414"/>
      <c r="BL81" s="414"/>
      <c r="BM81" s="414"/>
      <c r="BN81" s="414"/>
      <c r="BO81" s="414"/>
      <c r="BP81" s="414"/>
      <c r="BQ81" s="414"/>
      <c r="BR81" s="414"/>
      <c r="BS81" s="414"/>
      <c r="BT81" s="414"/>
      <c r="BU81" s="414"/>
      <c r="BV81" s="414"/>
      <c r="BW81" s="440"/>
      <c r="BX81" s="440"/>
      <c r="BY81" s="440"/>
      <c r="BZ81" s="440"/>
      <c r="CA81" s="440"/>
      <c r="CB81" s="440"/>
      <c r="CC81" s="440"/>
      <c r="CD81" s="440"/>
      <c r="CE81" s="440"/>
      <c r="CF81" s="440"/>
      <c r="CG81" s="440"/>
      <c r="CH81" s="440"/>
      <c r="CI81" s="440"/>
      <c r="CJ81" s="440"/>
      <c r="CK81" s="440"/>
      <c r="CL81" s="440"/>
      <c r="CM81" s="440"/>
      <c r="CN81" s="440"/>
      <c r="CO81" s="440"/>
      <c r="CP81" s="440"/>
      <c r="CQ81" s="440"/>
      <c r="CR81" s="440"/>
      <c r="CS81" s="440"/>
      <c r="CT81" s="440"/>
      <c r="CU81" s="414"/>
      <c r="CV81" s="414"/>
      <c r="CW81" s="415"/>
      <c r="CX81" s="415"/>
      <c r="CY81" s="415"/>
      <c r="CZ81" s="415"/>
      <c r="DA81" s="415"/>
      <c r="DB81" s="415"/>
      <c r="DC81" s="415"/>
      <c r="DD81" s="415"/>
      <c r="DE81" s="415"/>
      <c r="DF81" s="415"/>
      <c r="DG81" s="415"/>
      <c r="DH81" s="415"/>
      <c r="DI81" s="415"/>
      <c r="DJ81" s="414"/>
      <c r="DK81" s="414"/>
      <c r="DL81" s="414"/>
      <c r="DM81" s="414"/>
      <c r="DN81" s="414"/>
      <c r="DO81" s="414"/>
      <c r="DP81" s="414"/>
      <c r="DQ81" s="414"/>
      <c r="DR81" s="414"/>
      <c r="DS81" s="414"/>
      <c r="DT81" s="414"/>
      <c r="DU81" s="414"/>
      <c r="DV81" s="415"/>
      <c r="DW81" s="415"/>
      <c r="DX81" s="442"/>
      <c r="DY81" s="415"/>
      <c r="DZ81" s="415"/>
      <c r="EA81" s="415"/>
      <c r="EB81" s="415"/>
      <c r="EC81" s="415"/>
      <c r="ED81" s="415"/>
      <c r="EE81" s="415"/>
      <c r="EF81" s="415"/>
      <c r="EG81" s="415"/>
      <c r="EH81" s="415"/>
      <c r="EI81" s="415"/>
      <c r="EJ81" s="415"/>
      <c r="EK81" s="414"/>
      <c r="EL81" s="414"/>
      <c r="EM81" s="414"/>
      <c r="EN81" s="414"/>
      <c r="EO81" s="414"/>
      <c r="EP81" s="414"/>
      <c r="EQ81" s="414"/>
      <c r="ER81" s="414"/>
      <c r="ES81" s="414"/>
      <c r="ET81" s="414"/>
      <c r="EU81" s="414"/>
      <c r="EV81" s="414"/>
      <c r="EW81" s="414"/>
      <c r="EX81" s="414"/>
      <c r="EY81" s="414"/>
      <c r="EZ81" s="414"/>
      <c r="FA81" s="414"/>
      <c r="FB81" s="414"/>
      <c r="FC81" s="414"/>
      <c r="FD81" s="414"/>
      <c r="FE81" s="414"/>
      <c r="FF81" s="414"/>
      <c r="FG81" s="414"/>
      <c r="FH81" s="414"/>
      <c r="FI81" s="415"/>
      <c r="FJ81" s="415"/>
      <c r="FK81" s="415"/>
      <c r="FL81" s="387"/>
      <c r="FM81" s="387"/>
      <c r="FN81" s="387"/>
      <c r="FO81" s="387"/>
      <c r="FP81" s="387"/>
      <c r="FQ81" s="387"/>
      <c r="FR81" s="387"/>
      <c r="FS81" s="387"/>
      <c r="FT81" s="387"/>
      <c r="FU81" s="387"/>
      <c r="FV81" s="387"/>
      <c r="FW81" s="387"/>
      <c r="FX81" s="387"/>
      <c r="FY81" s="387"/>
      <c r="FZ81" s="387"/>
      <c r="GA81" s="387"/>
      <c r="GB81" s="387"/>
      <c r="GC81" s="387"/>
      <c r="GD81" s="387"/>
      <c r="GE81" s="387"/>
      <c r="GF81" s="387"/>
      <c r="GG81" s="387"/>
      <c r="GH81" s="387"/>
      <c r="GI81" s="387"/>
      <c r="GJ81" s="387"/>
      <c r="GK81" s="387"/>
      <c r="GL81" s="387"/>
      <c r="GM81" s="387"/>
      <c r="GN81" s="387"/>
      <c r="GO81" s="387"/>
      <c r="GP81" s="387"/>
      <c r="GQ81" s="387"/>
      <c r="GR81" s="387"/>
      <c r="GS81" s="387"/>
      <c r="GT81" s="387"/>
      <c r="GU81" s="387"/>
      <c r="GV81" s="387"/>
      <c r="GW81" s="387"/>
      <c r="GX81" s="387"/>
      <c r="GY81" s="387"/>
      <c r="GZ81" s="387"/>
      <c r="HA81" s="387"/>
      <c r="HB81" s="387"/>
      <c r="HC81" s="387"/>
      <c r="HD81" s="387"/>
      <c r="HE81" s="387"/>
      <c r="HF81" s="387"/>
      <c r="HG81" s="387"/>
      <c r="HH81" s="387"/>
      <c r="HI81" s="387"/>
      <c r="HJ81" s="387"/>
      <c r="HK81" s="387"/>
      <c r="HL81" s="387"/>
      <c r="HM81" s="387"/>
      <c r="HN81" s="387"/>
      <c r="HO81" s="387"/>
      <c r="HP81" s="387"/>
      <c r="HQ81" s="387"/>
      <c r="HR81" s="387"/>
      <c r="HS81" s="387"/>
      <c r="HT81" s="387"/>
      <c r="HU81" s="387"/>
      <c r="HV81" s="387"/>
      <c r="HW81" s="387"/>
      <c r="HX81" s="387"/>
      <c r="HY81" s="387"/>
      <c r="HZ81" s="387"/>
      <c r="IA81" s="387"/>
      <c r="IB81" s="387"/>
      <c r="IC81" s="387"/>
      <c r="ID81" s="387"/>
      <c r="IE81" s="327"/>
      <c r="IF81" s="327"/>
      <c r="IG81" s="327"/>
      <c r="IH81" s="327"/>
      <c r="II81" s="327"/>
      <c r="IJ81" s="327"/>
      <c r="IK81" s="327"/>
      <c r="IL81" s="327"/>
      <c r="IM81" s="327"/>
      <c r="IN81" s="327"/>
    </row>
    <row r="82" spans="1:248" s="321" customFormat="1" ht="21" customHeight="1" x14ac:dyDescent="0.2">
      <c r="A82" s="475"/>
      <c r="B82" s="449"/>
      <c r="C82" s="466"/>
      <c r="E82" s="466"/>
      <c r="F82" s="466"/>
      <c r="G82" s="466"/>
      <c r="H82" s="466"/>
      <c r="I82" s="466"/>
      <c r="J82" s="466"/>
      <c r="K82" s="466"/>
      <c r="L82" s="466"/>
      <c r="M82" s="466"/>
      <c r="N82" s="466"/>
      <c r="O82" s="466"/>
      <c r="P82" s="466"/>
      <c r="Q82" s="466"/>
      <c r="R82" s="466"/>
      <c r="S82" s="466"/>
      <c r="T82" s="466"/>
      <c r="U82" s="466"/>
      <c r="V82" s="466"/>
      <c r="W82" s="466"/>
      <c r="X82" s="466"/>
      <c r="Y82" s="466"/>
      <c r="Z82" s="466"/>
      <c r="AA82" s="466"/>
      <c r="AB82" s="466"/>
      <c r="AC82" s="362"/>
      <c r="AD82" s="410"/>
      <c r="AE82" s="414"/>
      <c r="AF82" s="414"/>
      <c r="AG82" s="414"/>
      <c r="AH82" s="414"/>
      <c r="AI82" s="414"/>
      <c r="AJ82" s="414"/>
      <c r="AK82" s="414"/>
      <c r="AL82" s="414"/>
      <c r="AM82" s="414"/>
      <c r="AN82" s="414"/>
      <c r="AO82" s="414"/>
      <c r="AP82" s="414"/>
      <c r="AQ82" s="414"/>
      <c r="AR82" s="414"/>
      <c r="AS82" s="414"/>
      <c r="AT82" s="414"/>
      <c r="AU82" s="414"/>
      <c r="AV82" s="414"/>
      <c r="AW82" s="414"/>
      <c r="AX82" s="414"/>
      <c r="AY82" s="414"/>
      <c r="AZ82" s="414"/>
      <c r="BA82" s="414"/>
      <c r="BB82" s="414"/>
      <c r="BC82" s="414"/>
      <c r="BD82" s="414"/>
      <c r="BE82" s="414"/>
      <c r="BF82" s="414"/>
      <c r="BG82" s="414"/>
      <c r="BH82" s="414"/>
      <c r="BI82" s="414"/>
      <c r="BJ82" s="414"/>
      <c r="BK82" s="414"/>
      <c r="BL82" s="414"/>
      <c r="BM82" s="414"/>
      <c r="BN82" s="414"/>
      <c r="BO82" s="414"/>
      <c r="BP82" s="414"/>
      <c r="BQ82" s="414"/>
      <c r="BR82" s="414"/>
      <c r="BS82" s="414"/>
      <c r="BT82" s="414"/>
      <c r="BU82" s="414"/>
      <c r="BV82" s="414"/>
      <c r="BW82" s="440"/>
      <c r="BX82" s="440"/>
      <c r="BY82" s="440"/>
      <c r="BZ82" s="440"/>
      <c r="CA82" s="440"/>
      <c r="CB82" s="440"/>
      <c r="CC82" s="440"/>
      <c r="CD82" s="440"/>
      <c r="CE82" s="440"/>
      <c r="CF82" s="440"/>
      <c r="CG82" s="440"/>
      <c r="CH82" s="440"/>
      <c r="CI82" s="440"/>
      <c r="CJ82" s="440"/>
      <c r="CK82" s="440"/>
      <c r="CL82" s="440"/>
      <c r="CM82" s="440"/>
      <c r="CN82" s="440"/>
      <c r="CO82" s="440"/>
      <c r="CP82" s="440"/>
      <c r="CQ82" s="440"/>
      <c r="CR82" s="440"/>
      <c r="CS82" s="440"/>
      <c r="CT82" s="440"/>
      <c r="CU82" s="414"/>
      <c r="CV82" s="414"/>
      <c r="CW82" s="415"/>
      <c r="CX82" s="415"/>
      <c r="CY82" s="415"/>
      <c r="CZ82" s="415"/>
      <c r="DA82" s="415"/>
      <c r="DB82" s="415"/>
      <c r="DC82" s="415"/>
      <c r="DD82" s="415"/>
      <c r="DE82" s="415"/>
      <c r="DF82" s="415"/>
      <c r="DG82" s="415"/>
      <c r="DH82" s="415"/>
      <c r="DI82" s="415"/>
      <c r="DJ82" s="414"/>
      <c r="DK82" s="414"/>
      <c r="DL82" s="414"/>
      <c r="DM82" s="414"/>
      <c r="DN82" s="414"/>
      <c r="DO82" s="414"/>
      <c r="DP82" s="414"/>
      <c r="DQ82" s="414"/>
      <c r="DR82" s="414"/>
      <c r="DS82" s="414"/>
      <c r="DT82" s="414"/>
      <c r="DU82" s="414"/>
      <c r="DV82" s="415"/>
      <c r="DW82" s="415"/>
      <c r="DX82" s="442"/>
      <c r="DY82" s="415"/>
      <c r="DZ82" s="415"/>
      <c r="EA82" s="415"/>
      <c r="EB82" s="415"/>
      <c r="EC82" s="415"/>
      <c r="ED82" s="415"/>
      <c r="EE82" s="415"/>
      <c r="EF82" s="415"/>
      <c r="EG82" s="415"/>
      <c r="EH82" s="415"/>
      <c r="EI82" s="415"/>
      <c r="EJ82" s="415"/>
      <c r="EK82" s="414"/>
      <c r="EL82" s="414"/>
      <c r="EM82" s="414"/>
      <c r="EN82" s="414"/>
      <c r="EO82" s="414"/>
      <c r="EP82" s="414"/>
      <c r="EQ82" s="414"/>
      <c r="ER82" s="414"/>
      <c r="ES82" s="414"/>
      <c r="ET82" s="414"/>
      <c r="EU82" s="414"/>
      <c r="EV82" s="414"/>
      <c r="EW82" s="414"/>
      <c r="EX82" s="414"/>
      <c r="EY82" s="414"/>
      <c r="EZ82" s="414"/>
      <c r="FA82" s="414"/>
      <c r="FB82" s="414"/>
      <c r="FC82" s="414"/>
      <c r="FD82" s="414"/>
      <c r="FE82" s="414"/>
      <c r="FF82" s="414"/>
      <c r="FG82" s="414"/>
      <c r="FH82" s="414"/>
      <c r="FI82" s="415"/>
      <c r="FJ82" s="415"/>
      <c r="FK82" s="415"/>
      <c r="FL82" s="387"/>
      <c r="FM82" s="387"/>
      <c r="FN82" s="387"/>
      <c r="FO82" s="387"/>
      <c r="FP82" s="387"/>
      <c r="FQ82" s="387"/>
      <c r="FR82" s="387"/>
      <c r="FS82" s="387"/>
      <c r="FT82" s="387"/>
      <c r="FU82" s="387"/>
      <c r="FV82" s="387"/>
      <c r="FW82" s="387"/>
      <c r="FX82" s="387"/>
      <c r="FY82" s="387"/>
      <c r="FZ82" s="387"/>
      <c r="GA82" s="387"/>
      <c r="GB82" s="387"/>
      <c r="GC82" s="387"/>
      <c r="GD82" s="387"/>
      <c r="GE82" s="387"/>
      <c r="GF82" s="387"/>
      <c r="GG82" s="387"/>
      <c r="GH82" s="387"/>
      <c r="GI82" s="387"/>
      <c r="GJ82" s="387"/>
      <c r="GK82" s="387"/>
      <c r="GL82" s="387"/>
      <c r="GM82" s="387"/>
      <c r="GN82" s="387"/>
      <c r="GO82" s="387"/>
      <c r="GP82" s="387"/>
      <c r="GQ82" s="387"/>
      <c r="GR82" s="387"/>
      <c r="GS82" s="387"/>
      <c r="GT82" s="387"/>
      <c r="GU82" s="387"/>
      <c r="GV82" s="387"/>
      <c r="GW82" s="387"/>
      <c r="GX82" s="387"/>
      <c r="GY82" s="387"/>
      <c r="GZ82" s="387"/>
      <c r="HA82" s="387"/>
      <c r="HB82" s="387"/>
      <c r="HC82" s="387"/>
      <c r="HD82" s="387"/>
      <c r="HE82" s="387"/>
      <c r="HF82" s="387"/>
      <c r="HG82" s="387"/>
      <c r="HH82" s="387"/>
      <c r="HI82" s="387"/>
      <c r="HJ82" s="387"/>
      <c r="HK82" s="387"/>
      <c r="HL82" s="387"/>
      <c r="HM82" s="387"/>
      <c r="HN82" s="387"/>
      <c r="HO82" s="387"/>
      <c r="HP82" s="387"/>
      <c r="HQ82" s="387"/>
      <c r="HR82" s="387"/>
      <c r="HS82" s="387"/>
      <c r="HT82" s="387"/>
      <c r="HU82" s="387"/>
      <c r="HV82" s="387"/>
      <c r="HW82" s="387"/>
      <c r="HX82" s="387"/>
      <c r="HY82" s="387"/>
      <c r="HZ82" s="387"/>
      <c r="IA82" s="387"/>
      <c r="IB82" s="387"/>
      <c r="IC82" s="387"/>
      <c r="ID82" s="387"/>
      <c r="IE82" s="327"/>
      <c r="IF82" s="327"/>
      <c r="IG82" s="327"/>
      <c r="IH82" s="327"/>
      <c r="II82" s="327"/>
      <c r="IJ82" s="327"/>
      <c r="IK82" s="327"/>
      <c r="IL82" s="327"/>
      <c r="IM82" s="327"/>
      <c r="IN82" s="327"/>
    </row>
    <row r="83" spans="1:248" s="321" customFormat="1" ht="21" customHeight="1" x14ac:dyDescent="0.2">
      <c r="A83" s="475"/>
      <c r="B83" s="449"/>
      <c r="C83" s="466"/>
      <c r="E83" s="466"/>
      <c r="F83" s="466"/>
      <c r="G83" s="466"/>
      <c r="H83" s="466"/>
      <c r="I83" s="466"/>
      <c r="J83" s="466"/>
      <c r="K83" s="466"/>
      <c r="L83" s="466"/>
      <c r="M83" s="466"/>
      <c r="N83" s="466"/>
      <c r="O83" s="466"/>
      <c r="P83" s="466"/>
      <c r="Q83" s="466"/>
      <c r="R83" s="466"/>
      <c r="S83" s="466"/>
      <c r="T83" s="466"/>
      <c r="U83" s="466"/>
      <c r="V83" s="466"/>
      <c r="W83" s="466"/>
      <c r="X83" s="466"/>
      <c r="Y83" s="466"/>
      <c r="Z83" s="466"/>
      <c r="AA83" s="466"/>
      <c r="AB83" s="466"/>
      <c r="AC83" s="362"/>
      <c r="AD83" s="410"/>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40"/>
      <c r="BX83" s="440"/>
      <c r="BY83" s="440"/>
      <c r="BZ83" s="440"/>
      <c r="CA83" s="440"/>
      <c r="CB83" s="440"/>
      <c r="CC83" s="440"/>
      <c r="CD83" s="440"/>
      <c r="CE83" s="440"/>
      <c r="CF83" s="440"/>
      <c r="CG83" s="440"/>
      <c r="CH83" s="440"/>
      <c r="CI83" s="440"/>
      <c r="CJ83" s="440"/>
      <c r="CK83" s="440"/>
      <c r="CL83" s="440"/>
      <c r="CM83" s="440"/>
      <c r="CN83" s="440"/>
      <c r="CO83" s="440"/>
      <c r="CP83" s="440"/>
      <c r="CQ83" s="440"/>
      <c r="CR83" s="440"/>
      <c r="CS83" s="440"/>
      <c r="CT83" s="440"/>
      <c r="CU83" s="414"/>
      <c r="CV83" s="414"/>
      <c r="CW83" s="415"/>
      <c r="CX83" s="415"/>
      <c r="CY83" s="415"/>
      <c r="CZ83" s="415"/>
      <c r="DA83" s="415"/>
      <c r="DB83" s="415"/>
      <c r="DC83" s="415"/>
      <c r="DD83" s="415"/>
      <c r="DE83" s="415"/>
      <c r="DF83" s="415"/>
      <c r="DG83" s="415"/>
      <c r="DH83" s="415"/>
      <c r="DI83" s="415"/>
      <c r="DJ83" s="414"/>
      <c r="DK83" s="414"/>
      <c r="DL83" s="414"/>
      <c r="DM83" s="414"/>
      <c r="DN83" s="414"/>
      <c r="DO83" s="414"/>
      <c r="DP83" s="414"/>
      <c r="DQ83" s="414"/>
      <c r="DR83" s="414"/>
      <c r="DS83" s="414"/>
      <c r="DT83" s="414"/>
      <c r="DU83" s="414"/>
      <c r="DV83" s="415"/>
      <c r="DW83" s="415"/>
      <c r="DX83" s="442"/>
      <c r="DY83" s="415"/>
      <c r="DZ83" s="415"/>
      <c r="EA83" s="415"/>
      <c r="EB83" s="415"/>
      <c r="EC83" s="415"/>
      <c r="ED83" s="415"/>
      <c r="EE83" s="415"/>
      <c r="EF83" s="415"/>
      <c r="EG83" s="415"/>
      <c r="EH83" s="415"/>
      <c r="EI83" s="415"/>
      <c r="EJ83" s="415"/>
      <c r="EK83" s="414"/>
      <c r="EL83" s="414"/>
      <c r="EM83" s="414"/>
      <c r="EN83" s="414"/>
      <c r="EO83" s="414"/>
      <c r="EP83" s="414"/>
      <c r="EQ83" s="414"/>
      <c r="ER83" s="414"/>
      <c r="ES83" s="414"/>
      <c r="ET83" s="414"/>
      <c r="EU83" s="414"/>
      <c r="EV83" s="414"/>
      <c r="EW83" s="414"/>
      <c r="EX83" s="414"/>
      <c r="EY83" s="414"/>
      <c r="EZ83" s="414"/>
      <c r="FA83" s="414"/>
      <c r="FB83" s="414"/>
      <c r="FC83" s="414"/>
      <c r="FD83" s="414"/>
      <c r="FE83" s="414"/>
      <c r="FF83" s="414"/>
      <c r="FG83" s="414"/>
      <c r="FH83" s="414"/>
      <c r="FI83" s="415"/>
      <c r="FJ83" s="415"/>
      <c r="FK83" s="415"/>
      <c r="FL83" s="387"/>
      <c r="FM83" s="387"/>
      <c r="FN83" s="387"/>
      <c r="FO83" s="387"/>
      <c r="FP83" s="387"/>
      <c r="FQ83" s="387"/>
      <c r="FR83" s="387"/>
      <c r="FS83" s="387"/>
      <c r="FT83" s="387"/>
      <c r="FU83" s="387"/>
      <c r="FV83" s="387"/>
      <c r="FW83" s="387"/>
      <c r="FX83" s="387"/>
      <c r="FY83" s="387"/>
      <c r="FZ83" s="387"/>
      <c r="GA83" s="387"/>
      <c r="GB83" s="387"/>
      <c r="GC83" s="387"/>
      <c r="GD83" s="387"/>
      <c r="GE83" s="387"/>
      <c r="GF83" s="387"/>
      <c r="GG83" s="387"/>
      <c r="GH83" s="387"/>
      <c r="GI83" s="387"/>
      <c r="GJ83" s="387"/>
      <c r="GK83" s="387"/>
      <c r="GL83" s="387"/>
      <c r="GM83" s="387"/>
      <c r="GN83" s="387"/>
      <c r="GO83" s="387"/>
      <c r="GP83" s="387"/>
      <c r="GQ83" s="387"/>
      <c r="GR83" s="387"/>
      <c r="GS83" s="387"/>
      <c r="GT83" s="387"/>
      <c r="GU83" s="387"/>
      <c r="GV83" s="387"/>
      <c r="GW83" s="387"/>
      <c r="GX83" s="387"/>
      <c r="GY83" s="387"/>
      <c r="GZ83" s="387"/>
      <c r="HA83" s="387"/>
      <c r="HB83" s="387"/>
      <c r="HC83" s="387"/>
      <c r="HD83" s="387"/>
      <c r="HE83" s="387"/>
      <c r="HF83" s="387"/>
      <c r="HG83" s="387"/>
      <c r="HH83" s="387"/>
      <c r="HI83" s="387"/>
      <c r="HJ83" s="387"/>
      <c r="HK83" s="387"/>
      <c r="HL83" s="387"/>
      <c r="HM83" s="387"/>
      <c r="HN83" s="387"/>
      <c r="HO83" s="387"/>
      <c r="HP83" s="387"/>
      <c r="HQ83" s="387"/>
      <c r="HR83" s="387"/>
      <c r="HS83" s="387"/>
      <c r="HT83" s="387"/>
      <c r="HU83" s="387"/>
      <c r="HV83" s="387"/>
      <c r="HW83" s="387"/>
      <c r="HX83" s="387"/>
      <c r="HY83" s="387"/>
      <c r="HZ83" s="387"/>
      <c r="IA83" s="387"/>
      <c r="IB83" s="387"/>
      <c r="IC83" s="387"/>
      <c r="ID83" s="387"/>
      <c r="IE83" s="327"/>
      <c r="IF83" s="327"/>
      <c r="IG83" s="327"/>
      <c r="IH83" s="327"/>
      <c r="II83" s="327"/>
      <c r="IJ83" s="327"/>
      <c r="IK83" s="327"/>
      <c r="IL83" s="327"/>
      <c r="IM83" s="327"/>
      <c r="IN83" s="327"/>
    </row>
    <row r="84" spans="1:248" s="321" customFormat="1" ht="21" customHeight="1" x14ac:dyDescent="0.25">
      <c r="A84" s="449"/>
      <c r="B84" s="462" t="s">
        <v>109</v>
      </c>
      <c r="C84" s="477"/>
      <c r="D84" s="477"/>
      <c r="E84" s="464">
        <f>COUNT(E32:E62)</f>
        <v>0</v>
      </c>
      <c r="F84" s="464"/>
      <c r="G84" s="464">
        <f>COUNT(G32:G62)</f>
        <v>0</v>
      </c>
      <c r="H84" s="464"/>
      <c r="I84" s="464">
        <f>COUNT(I32:I62)</f>
        <v>0</v>
      </c>
      <c r="J84" s="464"/>
      <c r="K84" s="464">
        <f>COUNT(K32:K62)</f>
        <v>0</v>
      </c>
      <c r="L84" s="464"/>
      <c r="M84" s="464">
        <f>COUNT(M32:M62)</f>
        <v>0</v>
      </c>
      <c r="N84" s="464"/>
      <c r="O84" s="464">
        <f>COUNT(O32:O62)</f>
        <v>0</v>
      </c>
      <c r="P84" s="464"/>
      <c r="Q84" s="464">
        <f>COUNT(Q32:Q62)</f>
        <v>0</v>
      </c>
      <c r="R84" s="464"/>
      <c r="S84" s="464">
        <f>COUNT(S32:S62)</f>
        <v>0</v>
      </c>
      <c r="T84" s="464"/>
      <c r="U84" s="464">
        <f>COUNT(U32:U62)</f>
        <v>0</v>
      </c>
      <c r="V84" s="464"/>
      <c r="W84" s="464">
        <f>COUNT(W32:W62)</f>
        <v>0</v>
      </c>
      <c r="X84" s="464"/>
      <c r="Y84" s="464">
        <f>COUNT(Y32:Y62)</f>
        <v>0</v>
      </c>
      <c r="Z84" s="464"/>
      <c r="AA84" s="464">
        <f>COUNT(AA32:AA62)</f>
        <v>0</v>
      </c>
      <c r="AB84" s="478">
        <f>SUM(E84:AA84)</f>
        <v>0</v>
      </c>
      <c r="AC84" s="405"/>
      <c r="AD84" s="406"/>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40"/>
      <c r="BX84" s="440"/>
      <c r="BY84" s="440"/>
      <c r="BZ84" s="440"/>
      <c r="CA84" s="440"/>
      <c r="CB84" s="440"/>
      <c r="CC84" s="440"/>
      <c r="CD84" s="440"/>
      <c r="CE84" s="440"/>
      <c r="CF84" s="440"/>
      <c r="CG84" s="440"/>
      <c r="CH84" s="440"/>
      <c r="CI84" s="440"/>
      <c r="CJ84" s="440"/>
      <c r="CK84" s="440"/>
      <c r="CL84" s="440"/>
      <c r="CM84" s="440"/>
      <c r="CN84" s="440"/>
      <c r="CO84" s="440"/>
      <c r="CP84" s="440"/>
      <c r="CQ84" s="440"/>
      <c r="CR84" s="440"/>
      <c r="CS84" s="440"/>
      <c r="CT84" s="440"/>
      <c r="CU84" s="414"/>
      <c r="CV84" s="414"/>
      <c r="CW84" s="415"/>
      <c r="CX84" s="415"/>
      <c r="CY84" s="415"/>
      <c r="CZ84" s="415"/>
      <c r="DA84" s="415"/>
      <c r="DB84" s="415"/>
      <c r="DC84" s="415"/>
      <c r="DD84" s="415"/>
      <c r="DE84" s="415"/>
      <c r="DF84" s="415"/>
      <c r="DG84" s="415"/>
      <c r="DH84" s="415"/>
      <c r="DI84" s="415"/>
      <c r="DJ84" s="414"/>
      <c r="DK84" s="414"/>
      <c r="DL84" s="414"/>
      <c r="DM84" s="414"/>
      <c r="DN84" s="414"/>
      <c r="DO84" s="414"/>
      <c r="DP84" s="414"/>
      <c r="DQ84" s="414"/>
      <c r="DR84" s="414"/>
      <c r="DS84" s="414"/>
      <c r="DT84" s="414"/>
      <c r="DU84" s="414"/>
      <c r="DV84" s="415"/>
      <c r="DW84" s="415"/>
      <c r="DX84" s="442"/>
      <c r="DY84" s="415"/>
      <c r="DZ84" s="415"/>
      <c r="EA84" s="415"/>
      <c r="EB84" s="415"/>
      <c r="EC84" s="415"/>
      <c r="ED84" s="415"/>
      <c r="EE84" s="415"/>
      <c r="EF84" s="415"/>
      <c r="EG84" s="415"/>
      <c r="EH84" s="415"/>
      <c r="EI84" s="415"/>
      <c r="EJ84" s="415"/>
      <c r="EK84" s="414"/>
      <c r="EL84" s="414"/>
      <c r="EM84" s="414"/>
      <c r="EN84" s="414"/>
      <c r="EO84" s="414"/>
      <c r="EP84" s="414"/>
      <c r="EQ84" s="414"/>
      <c r="ER84" s="414"/>
      <c r="ES84" s="414"/>
      <c r="ET84" s="414"/>
      <c r="EU84" s="414"/>
      <c r="EV84" s="414"/>
      <c r="EW84" s="414"/>
      <c r="EX84" s="414"/>
      <c r="EY84" s="414"/>
      <c r="EZ84" s="414"/>
      <c r="FA84" s="414"/>
      <c r="FB84" s="414"/>
      <c r="FC84" s="414"/>
      <c r="FD84" s="414"/>
      <c r="FE84" s="414"/>
      <c r="FF84" s="414"/>
      <c r="FG84" s="414"/>
      <c r="FH84" s="414"/>
      <c r="FI84" s="415"/>
      <c r="FJ84" s="415"/>
      <c r="FK84" s="415"/>
      <c r="FL84" s="387"/>
      <c r="FM84" s="387"/>
      <c r="FN84" s="387"/>
      <c r="FO84" s="387"/>
      <c r="FP84" s="387"/>
      <c r="FQ84" s="387"/>
      <c r="FR84" s="387"/>
      <c r="FS84" s="387"/>
      <c r="FT84" s="387"/>
      <c r="FU84" s="387"/>
      <c r="FV84" s="387"/>
      <c r="FW84" s="387"/>
      <c r="FX84" s="387"/>
      <c r="FY84" s="387"/>
      <c r="FZ84" s="387"/>
      <c r="GA84" s="387"/>
      <c r="GB84" s="387"/>
      <c r="GC84" s="387"/>
      <c r="GD84" s="387"/>
      <c r="GE84" s="387"/>
      <c r="GF84" s="387"/>
      <c r="GG84" s="387"/>
      <c r="GH84" s="387"/>
      <c r="GI84" s="387"/>
      <c r="GJ84" s="387"/>
      <c r="GK84" s="387"/>
      <c r="GL84" s="387"/>
      <c r="GM84" s="387"/>
      <c r="GN84" s="387"/>
      <c r="GO84" s="387"/>
      <c r="GP84" s="387"/>
      <c r="GQ84" s="387"/>
      <c r="GR84" s="387"/>
      <c r="GS84" s="387"/>
      <c r="GT84" s="387"/>
      <c r="GU84" s="387"/>
      <c r="GV84" s="387"/>
      <c r="GW84" s="387"/>
      <c r="GX84" s="387"/>
      <c r="GY84" s="387"/>
      <c r="GZ84" s="387"/>
      <c r="HA84" s="387"/>
      <c r="HB84" s="387"/>
      <c r="HC84" s="387"/>
      <c r="HD84" s="387"/>
      <c r="HE84" s="387"/>
      <c r="HF84" s="387"/>
      <c r="HG84" s="387"/>
      <c r="HH84" s="387"/>
      <c r="HI84" s="387"/>
      <c r="HJ84" s="387"/>
      <c r="HK84" s="387"/>
      <c r="HL84" s="387"/>
      <c r="HM84" s="387"/>
      <c r="HN84" s="387"/>
      <c r="HO84" s="387"/>
      <c r="HP84" s="387"/>
      <c r="HQ84" s="387"/>
      <c r="HR84" s="387"/>
      <c r="HS84" s="387"/>
      <c r="HT84" s="387"/>
      <c r="HU84" s="387"/>
      <c r="HV84" s="387"/>
      <c r="HW84" s="387"/>
      <c r="HX84" s="387"/>
      <c r="HY84" s="387"/>
      <c r="HZ84" s="387"/>
      <c r="IA84" s="387"/>
      <c r="IB84" s="387"/>
      <c r="IC84" s="387"/>
      <c r="ID84" s="387"/>
      <c r="IE84" s="327"/>
      <c r="IF84" s="327"/>
      <c r="IG84" s="327"/>
      <c r="IH84" s="327"/>
      <c r="II84" s="327"/>
      <c r="IJ84" s="327"/>
      <c r="IK84" s="327"/>
      <c r="IL84" s="327"/>
      <c r="IM84" s="327"/>
      <c r="IN84" s="327"/>
    </row>
    <row r="85" spans="1:248" s="321" customFormat="1" ht="21" customHeight="1" x14ac:dyDescent="0.2">
      <c r="A85" s="449"/>
      <c r="B85" s="462" t="s">
        <v>36</v>
      </c>
      <c r="C85" s="466"/>
      <c r="D85" s="466"/>
      <c r="E85" s="479" t="str">
        <f t="shared" ref="E85:AA85" si="101">IF(E84=0," ",SMALL(E32:E62,1))</f>
        <v xml:space="preserve"> </v>
      </c>
      <c r="F85" s="464" t="str">
        <f t="shared" si="101"/>
        <v xml:space="preserve"> </v>
      </c>
      <c r="G85" s="464" t="str">
        <f t="shared" si="101"/>
        <v xml:space="preserve"> </v>
      </c>
      <c r="H85" s="464" t="str">
        <f t="shared" si="101"/>
        <v xml:space="preserve"> </v>
      </c>
      <c r="I85" s="464" t="str">
        <f t="shared" si="101"/>
        <v xml:space="preserve"> </v>
      </c>
      <c r="J85" s="464" t="str">
        <f t="shared" si="101"/>
        <v xml:space="preserve"> </v>
      </c>
      <c r="K85" s="464" t="str">
        <f t="shared" si="101"/>
        <v xml:space="preserve"> </v>
      </c>
      <c r="L85" s="464" t="str">
        <f t="shared" si="101"/>
        <v xml:space="preserve"> </v>
      </c>
      <c r="M85" s="464" t="str">
        <f t="shared" si="101"/>
        <v xml:space="preserve"> </v>
      </c>
      <c r="N85" s="464" t="str">
        <f t="shared" si="101"/>
        <v xml:space="preserve"> </v>
      </c>
      <c r="O85" s="464" t="str">
        <f t="shared" si="101"/>
        <v xml:space="preserve"> </v>
      </c>
      <c r="P85" s="464" t="str">
        <f t="shared" si="101"/>
        <v xml:space="preserve"> </v>
      </c>
      <c r="Q85" s="464" t="str">
        <f t="shared" si="101"/>
        <v xml:space="preserve"> </v>
      </c>
      <c r="R85" s="464" t="str">
        <f t="shared" si="101"/>
        <v xml:space="preserve"> </v>
      </c>
      <c r="S85" s="464" t="str">
        <f t="shared" si="101"/>
        <v xml:space="preserve"> </v>
      </c>
      <c r="T85" s="464" t="str">
        <f t="shared" si="101"/>
        <v xml:space="preserve"> </v>
      </c>
      <c r="U85" s="464" t="str">
        <f t="shared" si="101"/>
        <v xml:space="preserve"> </v>
      </c>
      <c r="V85" s="464" t="str">
        <f t="shared" si="101"/>
        <v xml:space="preserve"> </v>
      </c>
      <c r="W85" s="464" t="str">
        <f t="shared" si="101"/>
        <v xml:space="preserve"> </v>
      </c>
      <c r="X85" s="464" t="str">
        <f t="shared" si="101"/>
        <v xml:space="preserve"> </v>
      </c>
      <c r="Y85" s="464" t="str">
        <f t="shared" si="101"/>
        <v xml:space="preserve"> </v>
      </c>
      <c r="Z85" s="464" t="str">
        <f t="shared" si="101"/>
        <v xml:space="preserve"> </v>
      </c>
      <c r="AA85" s="464" t="str">
        <f t="shared" si="101"/>
        <v xml:space="preserve"> </v>
      </c>
      <c r="AB85" s="414" t="str">
        <f>IFERROR(SMALL(E85:AA85,1),"")</f>
        <v/>
      </c>
      <c r="AC85" s="405"/>
      <c r="AD85" s="406"/>
      <c r="AE85" s="414"/>
      <c r="AF85" s="414"/>
      <c r="AG85" s="414"/>
      <c r="AH85" s="414"/>
      <c r="AI85" s="414"/>
      <c r="AJ85" s="414"/>
      <c r="AK85" s="414"/>
      <c r="AL85" s="414"/>
      <c r="AM85" s="414"/>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40"/>
      <c r="BX85" s="440"/>
      <c r="BY85" s="440"/>
      <c r="BZ85" s="440"/>
      <c r="CA85" s="440"/>
      <c r="CB85" s="440"/>
      <c r="CC85" s="440"/>
      <c r="CD85" s="440"/>
      <c r="CE85" s="440"/>
      <c r="CF85" s="440"/>
      <c r="CG85" s="440"/>
      <c r="CH85" s="440"/>
      <c r="CI85" s="440"/>
      <c r="CJ85" s="440"/>
      <c r="CK85" s="440"/>
      <c r="CL85" s="440"/>
      <c r="CM85" s="440"/>
      <c r="CN85" s="440"/>
      <c r="CO85" s="440"/>
      <c r="CP85" s="440"/>
      <c r="CQ85" s="440"/>
      <c r="CR85" s="440"/>
      <c r="CS85" s="440"/>
      <c r="CT85" s="440"/>
      <c r="CU85" s="414"/>
      <c r="CV85" s="414"/>
      <c r="CW85" s="415"/>
      <c r="CX85" s="415"/>
      <c r="CY85" s="415"/>
      <c r="CZ85" s="415"/>
      <c r="DA85" s="415"/>
      <c r="DB85" s="415"/>
      <c r="DC85" s="415"/>
      <c r="DD85" s="415"/>
      <c r="DE85" s="415"/>
      <c r="DF85" s="415"/>
      <c r="DG85" s="415"/>
      <c r="DH85" s="415"/>
      <c r="DI85" s="415"/>
      <c r="DJ85" s="414"/>
      <c r="DK85" s="414"/>
      <c r="DL85" s="414"/>
      <c r="DM85" s="414"/>
      <c r="DN85" s="414"/>
      <c r="DO85" s="414"/>
      <c r="DP85" s="414"/>
      <c r="DQ85" s="414"/>
      <c r="DR85" s="414"/>
      <c r="DS85" s="414"/>
      <c r="DT85" s="414"/>
      <c r="DU85" s="414"/>
      <c r="DV85" s="415"/>
      <c r="DW85" s="415"/>
      <c r="DX85" s="442"/>
      <c r="DY85" s="415"/>
      <c r="DZ85" s="415"/>
      <c r="EA85" s="415"/>
      <c r="EB85" s="415"/>
      <c r="EC85" s="415"/>
      <c r="ED85" s="415"/>
      <c r="EE85" s="415"/>
      <c r="EF85" s="415"/>
      <c r="EG85" s="415"/>
      <c r="EH85" s="415"/>
      <c r="EI85" s="415"/>
      <c r="EJ85" s="415"/>
      <c r="EK85" s="414"/>
      <c r="EL85" s="414"/>
      <c r="EM85" s="414"/>
      <c r="EN85" s="414"/>
      <c r="EO85" s="414"/>
      <c r="EP85" s="414"/>
      <c r="EQ85" s="414"/>
      <c r="ER85" s="414"/>
      <c r="ES85" s="414"/>
      <c r="ET85" s="414"/>
      <c r="EU85" s="414"/>
      <c r="EV85" s="414"/>
      <c r="EW85" s="414"/>
      <c r="EX85" s="414"/>
      <c r="EY85" s="414"/>
      <c r="EZ85" s="414"/>
      <c r="FA85" s="414"/>
      <c r="FB85" s="414"/>
      <c r="FC85" s="414"/>
      <c r="FD85" s="414"/>
      <c r="FE85" s="414"/>
      <c r="FF85" s="414"/>
      <c r="FG85" s="414"/>
      <c r="FH85" s="414"/>
      <c r="FI85" s="415"/>
      <c r="FJ85" s="415"/>
      <c r="FK85" s="415"/>
      <c r="FL85" s="387"/>
      <c r="FM85" s="387"/>
      <c r="FN85" s="387"/>
      <c r="FO85" s="387"/>
      <c r="FP85" s="387"/>
      <c r="FQ85" s="387"/>
      <c r="FR85" s="387"/>
      <c r="FS85" s="387"/>
      <c r="FT85" s="387"/>
      <c r="FU85" s="387"/>
      <c r="FV85" s="387"/>
      <c r="FW85" s="387"/>
      <c r="FX85" s="387"/>
      <c r="FY85" s="387"/>
      <c r="FZ85" s="387"/>
      <c r="GA85" s="387"/>
      <c r="GB85" s="387"/>
      <c r="GC85" s="387"/>
      <c r="GD85" s="387"/>
      <c r="GE85" s="387"/>
      <c r="GF85" s="387"/>
      <c r="GG85" s="387"/>
      <c r="GH85" s="387"/>
      <c r="GI85" s="387"/>
      <c r="GJ85" s="387"/>
      <c r="GK85" s="387"/>
      <c r="GL85" s="387"/>
      <c r="GM85" s="387"/>
      <c r="GN85" s="387"/>
      <c r="GO85" s="387"/>
      <c r="GP85" s="387"/>
      <c r="GQ85" s="387"/>
      <c r="GR85" s="387"/>
      <c r="GS85" s="387"/>
      <c r="GT85" s="387"/>
      <c r="GU85" s="387"/>
      <c r="GV85" s="387"/>
      <c r="GW85" s="387"/>
      <c r="GX85" s="387"/>
      <c r="GY85" s="387"/>
      <c r="GZ85" s="387"/>
      <c r="HA85" s="387"/>
      <c r="HB85" s="387"/>
      <c r="HC85" s="387"/>
      <c r="HD85" s="387"/>
      <c r="HE85" s="387"/>
      <c r="HF85" s="387"/>
      <c r="HG85" s="387"/>
      <c r="HH85" s="387"/>
      <c r="HI85" s="387"/>
      <c r="HJ85" s="387"/>
      <c r="HK85" s="387"/>
      <c r="HL85" s="387"/>
      <c r="HM85" s="387"/>
      <c r="HN85" s="387"/>
      <c r="HO85" s="387"/>
      <c r="HP85" s="387"/>
      <c r="HQ85" s="387"/>
      <c r="HR85" s="387"/>
      <c r="HS85" s="387"/>
      <c r="HT85" s="387"/>
      <c r="HU85" s="387"/>
      <c r="HV85" s="387"/>
      <c r="HW85" s="387"/>
      <c r="HX85" s="387"/>
      <c r="HY85" s="387"/>
      <c r="HZ85" s="387"/>
      <c r="IA85" s="387"/>
      <c r="IB85" s="387"/>
      <c r="IC85" s="387"/>
      <c r="ID85" s="387"/>
      <c r="IE85" s="327"/>
      <c r="IF85" s="327"/>
      <c r="IG85" s="327"/>
      <c r="IH85" s="327"/>
      <c r="II85" s="327"/>
      <c r="IJ85" s="327"/>
      <c r="IK85" s="327"/>
      <c r="IL85" s="327"/>
      <c r="IM85" s="327"/>
      <c r="IN85" s="327"/>
    </row>
    <row r="86" spans="1:248" s="321" customFormat="1" ht="21" customHeight="1" x14ac:dyDescent="0.2">
      <c r="A86" s="449"/>
      <c r="B86" s="462" t="s">
        <v>37</v>
      </c>
      <c r="C86" s="466"/>
      <c r="D86" s="466"/>
      <c r="E86" s="464" t="str">
        <f t="shared" ref="E86:AA86" si="102">IF(E84=0," ",LARGE(E32:E62,1))</f>
        <v xml:space="preserve"> </v>
      </c>
      <c r="F86" s="464" t="str">
        <f t="shared" si="102"/>
        <v xml:space="preserve"> </v>
      </c>
      <c r="G86" s="464" t="str">
        <f t="shared" si="102"/>
        <v xml:space="preserve"> </v>
      </c>
      <c r="H86" s="464" t="str">
        <f t="shared" si="102"/>
        <v xml:space="preserve"> </v>
      </c>
      <c r="I86" s="464" t="str">
        <f t="shared" si="102"/>
        <v xml:space="preserve"> </v>
      </c>
      <c r="J86" s="464" t="str">
        <f t="shared" si="102"/>
        <v xml:space="preserve"> </v>
      </c>
      <c r="K86" s="464" t="str">
        <f t="shared" si="102"/>
        <v xml:space="preserve"> </v>
      </c>
      <c r="L86" s="464" t="str">
        <f t="shared" si="102"/>
        <v xml:space="preserve"> </v>
      </c>
      <c r="M86" s="464" t="str">
        <f t="shared" si="102"/>
        <v xml:space="preserve"> </v>
      </c>
      <c r="N86" s="464" t="str">
        <f t="shared" si="102"/>
        <v xml:space="preserve"> </v>
      </c>
      <c r="O86" s="464" t="str">
        <f t="shared" si="102"/>
        <v xml:space="preserve"> </v>
      </c>
      <c r="P86" s="464" t="str">
        <f t="shared" si="102"/>
        <v xml:space="preserve"> </v>
      </c>
      <c r="Q86" s="464" t="str">
        <f t="shared" si="102"/>
        <v xml:space="preserve"> </v>
      </c>
      <c r="R86" s="464" t="str">
        <f t="shared" si="102"/>
        <v xml:space="preserve"> </v>
      </c>
      <c r="S86" s="464" t="str">
        <f t="shared" si="102"/>
        <v xml:space="preserve"> </v>
      </c>
      <c r="T86" s="464" t="str">
        <f t="shared" si="102"/>
        <v xml:space="preserve"> </v>
      </c>
      <c r="U86" s="464" t="str">
        <f t="shared" si="102"/>
        <v xml:space="preserve"> </v>
      </c>
      <c r="V86" s="464" t="str">
        <f t="shared" si="102"/>
        <v xml:space="preserve"> </v>
      </c>
      <c r="W86" s="464" t="str">
        <f t="shared" si="102"/>
        <v xml:space="preserve"> </v>
      </c>
      <c r="X86" s="464" t="str">
        <f t="shared" si="102"/>
        <v xml:space="preserve"> </v>
      </c>
      <c r="Y86" s="464" t="str">
        <f t="shared" si="102"/>
        <v xml:space="preserve"> </v>
      </c>
      <c r="Z86" s="464" t="str">
        <f t="shared" si="102"/>
        <v xml:space="preserve"> </v>
      </c>
      <c r="AA86" s="464" t="str">
        <f t="shared" si="102"/>
        <v xml:space="preserve"> </v>
      </c>
      <c r="AB86" s="414" t="str">
        <f>IFERROR(LARGE(E86:AA86,1),"")</f>
        <v/>
      </c>
      <c r="AC86" s="405"/>
      <c r="AD86" s="406"/>
      <c r="AE86" s="414"/>
      <c r="AF86" s="414"/>
      <c r="AG86" s="414"/>
      <c r="AH86" s="414"/>
      <c r="AI86" s="414"/>
      <c r="AJ86" s="414"/>
      <c r="AK86" s="414"/>
      <c r="AL86" s="414"/>
      <c r="AM86" s="414"/>
      <c r="AN86" s="414"/>
      <c r="AO86" s="414"/>
      <c r="AP86" s="414"/>
      <c r="AQ86" s="414"/>
      <c r="AR86" s="414"/>
      <c r="AS86" s="414"/>
      <c r="AT86" s="414"/>
      <c r="AU86" s="414"/>
      <c r="AV86" s="414"/>
      <c r="AW86" s="414"/>
      <c r="AX86" s="414"/>
      <c r="AY86" s="414"/>
      <c r="AZ86" s="414"/>
      <c r="BA86" s="414"/>
      <c r="BB86" s="414"/>
      <c r="BC86" s="414"/>
      <c r="BD86" s="414"/>
      <c r="BE86" s="414"/>
      <c r="BF86" s="414"/>
      <c r="BG86" s="414"/>
      <c r="BH86" s="414"/>
      <c r="BI86" s="414"/>
      <c r="BJ86" s="414"/>
      <c r="BK86" s="414"/>
      <c r="BL86" s="414"/>
      <c r="BM86" s="414"/>
      <c r="BN86" s="414"/>
      <c r="BO86" s="414"/>
      <c r="BP86" s="414"/>
      <c r="BQ86" s="414"/>
      <c r="BR86" s="414"/>
      <c r="BS86" s="414"/>
      <c r="BT86" s="414"/>
      <c r="BU86" s="414"/>
      <c r="BV86" s="414"/>
      <c r="BW86" s="440"/>
      <c r="BX86" s="440"/>
      <c r="BY86" s="440"/>
      <c r="BZ86" s="440"/>
      <c r="CA86" s="440"/>
      <c r="CB86" s="440"/>
      <c r="CC86" s="440"/>
      <c r="CD86" s="440"/>
      <c r="CE86" s="440"/>
      <c r="CF86" s="440"/>
      <c r="CG86" s="440"/>
      <c r="CH86" s="440"/>
      <c r="CI86" s="440"/>
      <c r="CJ86" s="440"/>
      <c r="CK86" s="440"/>
      <c r="CL86" s="440"/>
      <c r="CM86" s="440"/>
      <c r="CN86" s="440"/>
      <c r="CO86" s="440"/>
      <c r="CP86" s="440"/>
      <c r="CQ86" s="440"/>
      <c r="CR86" s="440"/>
      <c r="CS86" s="440"/>
      <c r="CT86" s="440"/>
      <c r="CU86" s="414"/>
      <c r="CV86" s="414"/>
      <c r="CW86" s="415"/>
      <c r="CX86" s="415"/>
      <c r="CY86" s="415"/>
      <c r="CZ86" s="415"/>
      <c r="DA86" s="415"/>
      <c r="DB86" s="415"/>
      <c r="DC86" s="415"/>
      <c r="DD86" s="415"/>
      <c r="DE86" s="415"/>
      <c r="DF86" s="415"/>
      <c r="DG86" s="415"/>
      <c r="DH86" s="415"/>
      <c r="DI86" s="415"/>
      <c r="DJ86" s="414"/>
      <c r="DK86" s="414"/>
      <c r="DL86" s="414"/>
      <c r="DM86" s="414"/>
      <c r="DN86" s="414"/>
      <c r="DO86" s="414"/>
      <c r="DP86" s="414"/>
      <c r="DQ86" s="414"/>
      <c r="DR86" s="414"/>
      <c r="DS86" s="414"/>
      <c r="DT86" s="414"/>
      <c r="DU86" s="414"/>
      <c r="DV86" s="415"/>
      <c r="DW86" s="415"/>
      <c r="DX86" s="442"/>
      <c r="DY86" s="415"/>
      <c r="DZ86" s="415"/>
      <c r="EA86" s="415"/>
      <c r="EB86" s="415"/>
      <c r="EC86" s="415"/>
      <c r="ED86" s="415"/>
      <c r="EE86" s="415"/>
      <c r="EF86" s="415"/>
      <c r="EG86" s="415"/>
      <c r="EH86" s="415"/>
      <c r="EI86" s="415"/>
      <c r="EJ86" s="415"/>
      <c r="EK86" s="414"/>
      <c r="EL86" s="414"/>
      <c r="EM86" s="414"/>
      <c r="EN86" s="414"/>
      <c r="EO86" s="414"/>
      <c r="EP86" s="414"/>
      <c r="EQ86" s="414"/>
      <c r="ER86" s="414"/>
      <c r="ES86" s="414"/>
      <c r="ET86" s="414"/>
      <c r="EU86" s="414"/>
      <c r="EV86" s="414"/>
      <c r="EW86" s="414"/>
      <c r="EX86" s="414"/>
      <c r="EY86" s="414"/>
      <c r="EZ86" s="414"/>
      <c r="FA86" s="414"/>
      <c r="FB86" s="414"/>
      <c r="FC86" s="414"/>
      <c r="FD86" s="414"/>
      <c r="FE86" s="414"/>
      <c r="FF86" s="414"/>
      <c r="FG86" s="414"/>
      <c r="FH86" s="414"/>
      <c r="FI86" s="415"/>
      <c r="FJ86" s="415"/>
      <c r="FK86" s="415"/>
      <c r="FL86" s="387"/>
      <c r="FM86" s="387"/>
      <c r="FN86" s="387"/>
      <c r="FO86" s="387"/>
      <c r="FP86" s="387"/>
      <c r="FQ86" s="387"/>
      <c r="FR86" s="387"/>
      <c r="FS86" s="387"/>
      <c r="FT86" s="387"/>
      <c r="FU86" s="387"/>
      <c r="FV86" s="387"/>
      <c r="FW86" s="387"/>
      <c r="FX86" s="387"/>
      <c r="FY86" s="387"/>
      <c r="FZ86" s="387"/>
      <c r="GA86" s="387"/>
      <c r="GB86" s="387"/>
      <c r="GC86" s="387"/>
      <c r="GD86" s="387"/>
      <c r="GE86" s="387"/>
      <c r="GF86" s="387"/>
      <c r="GG86" s="387"/>
      <c r="GH86" s="387"/>
      <c r="GI86" s="387"/>
      <c r="GJ86" s="387"/>
      <c r="GK86" s="387"/>
      <c r="GL86" s="387"/>
      <c r="GM86" s="387"/>
      <c r="GN86" s="387"/>
      <c r="GO86" s="387"/>
      <c r="GP86" s="387"/>
      <c r="GQ86" s="387"/>
      <c r="GR86" s="387"/>
      <c r="GS86" s="387"/>
      <c r="GT86" s="387"/>
      <c r="GU86" s="387"/>
      <c r="GV86" s="387"/>
      <c r="GW86" s="387"/>
      <c r="GX86" s="387"/>
      <c r="GY86" s="387"/>
      <c r="GZ86" s="387"/>
      <c r="HA86" s="387"/>
      <c r="HB86" s="387"/>
      <c r="HC86" s="387"/>
      <c r="HD86" s="387"/>
      <c r="HE86" s="387"/>
      <c r="HF86" s="387"/>
      <c r="HG86" s="387"/>
      <c r="HH86" s="387"/>
      <c r="HI86" s="387"/>
      <c r="HJ86" s="387"/>
      <c r="HK86" s="387"/>
      <c r="HL86" s="387"/>
      <c r="HM86" s="387"/>
      <c r="HN86" s="387"/>
      <c r="HO86" s="387"/>
      <c r="HP86" s="387"/>
      <c r="HQ86" s="387"/>
      <c r="HR86" s="387"/>
      <c r="HS86" s="387"/>
      <c r="HT86" s="387"/>
      <c r="HU86" s="387"/>
      <c r="HV86" s="387"/>
      <c r="HW86" s="387"/>
      <c r="HX86" s="387"/>
      <c r="HY86" s="387"/>
      <c r="HZ86" s="387"/>
      <c r="IA86" s="387"/>
      <c r="IB86" s="387"/>
      <c r="IC86" s="387"/>
      <c r="ID86" s="387"/>
      <c r="IE86" s="327"/>
      <c r="IF86" s="327"/>
      <c r="IG86" s="327"/>
      <c r="IH86" s="327"/>
      <c r="II86" s="327"/>
      <c r="IJ86" s="327"/>
      <c r="IK86" s="327"/>
      <c r="IL86" s="327"/>
      <c r="IM86" s="327"/>
      <c r="IN86" s="327"/>
    </row>
    <row r="87" spans="1:248" s="321" customFormat="1" ht="21" customHeight="1" x14ac:dyDescent="0.2">
      <c r="A87" s="449"/>
      <c r="B87" s="462"/>
      <c r="C87" s="466"/>
      <c r="D87" s="466"/>
      <c r="E87" s="464"/>
      <c r="F87" s="464"/>
      <c r="G87" s="464"/>
      <c r="H87" s="464"/>
      <c r="I87" s="464"/>
      <c r="J87" s="464"/>
      <c r="K87" s="464"/>
      <c r="L87" s="464"/>
      <c r="M87" s="464"/>
      <c r="N87" s="464"/>
      <c r="O87" s="464"/>
      <c r="P87" s="464"/>
      <c r="Q87" s="464"/>
      <c r="R87" s="464"/>
      <c r="S87" s="464"/>
      <c r="T87" s="464"/>
      <c r="U87" s="464"/>
      <c r="V87" s="464"/>
      <c r="W87" s="464"/>
      <c r="X87" s="464"/>
      <c r="Y87" s="464"/>
      <c r="Z87" s="464"/>
      <c r="AA87" s="464"/>
      <c r="AB87" s="414"/>
      <c r="AC87" s="405"/>
      <c r="AD87" s="406"/>
      <c r="AE87" s="414"/>
      <c r="AF87" s="414"/>
      <c r="AG87" s="414"/>
      <c r="AH87" s="414"/>
      <c r="AI87" s="414"/>
      <c r="AJ87" s="414"/>
      <c r="AK87" s="414"/>
      <c r="AL87" s="414"/>
      <c r="AM87" s="414"/>
      <c r="AN87" s="414"/>
      <c r="AO87" s="414"/>
      <c r="AP87" s="414"/>
      <c r="AQ87" s="414"/>
      <c r="AR87" s="414"/>
      <c r="AS87" s="414"/>
      <c r="AT87" s="414"/>
      <c r="AU87" s="414"/>
      <c r="AV87" s="414"/>
      <c r="AW87" s="414"/>
      <c r="AX87" s="414"/>
      <c r="AY87" s="414"/>
      <c r="AZ87" s="414"/>
      <c r="BA87" s="414"/>
      <c r="BB87" s="414"/>
      <c r="BC87" s="414"/>
      <c r="BD87" s="414"/>
      <c r="BE87" s="414"/>
      <c r="BF87" s="414"/>
      <c r="BG87" s="414"/>
      <c r="BH87" s="414"/>
      <c r="BI87" s="414"/>
      <c r="BJ87" s="414"/>
      <c r="BK87" s="414"/>
      <c r="BL87" s="414"/>
      <c r="BM87" s="414"/>
      <c r="BN87" s="414"/>
      <c r="BO87" s="414"/>
      <c r="BP87" s="414"/>
      <c r="BQ87" s="414"/>
      <c r="BR87" s="414"/>
      <c r="BS87" s="414"/>
      <c r="BT87" s="414"/>
      <c r="BU87" s="414"/>
      <c r="BV87" s="414"/>
      <c r="BW87" s="440"/>
      <c r="BX87" s="440"/>
      <c r="BY87" s="440"/>
      <c r="BZ87" s="440"/>
      <c r="CA87" s="440"/>
      <c r="CB87" s="440"/>
      <c r="CC87" s="440"/>
      <c r="CD87" s="440"/>
      <c r="CE87" s="440"/>
      <c r="CF87" s="440"/>
      <c r="CG87" s="440"/>
      <c r="CH87" s="440"/>
      <c r="CI87" s="440"/>
      <c r="CJ87" s="440"/>
      <c r="CK87" s="440"/>
      <c r="CL87" s="440"/>
      <c r="CM87" s="440"/>
      <c r="CN87" s="440"/>
      <c r="CO87" s="440"/>
      <c r="CP87" s="440"/>
      <c r="CQ87" s="440"/>
      <c r="CR87" s="440"/>
      <c r="CS87" s="440"/>
      <c r="CT87" s="440"/>
      <c r="CU87" s="414"/>
      <c r="CV87" s="414"/>
      <c r="CW87" s="415"/>
      <c r="CX87" s="415"/>
      <c r="CY87" s="415"/>
      <c r="CZ87" s="415"/>
      <c r="DA87" s="415"/>
      <c r="DB87" s="415"/>
      <c r="DC87" s="415"/>
      <c r="DD87" s="415"/>
      <c r="DE87" s="415"/>
      <c r="DF87" s="415"/>
      <c r="DG87" s="415"/>
      <c r="DH87" s="415"/>
      <c r="DI87" s="415"/>
      <c r="DJ87" s="414"/>
      <c r="DK87" s="414"/>
      <c r="DL87" s="414"/>
      <c r="DM87" s="414"/>
      <c r="DN87" s="414"/>
      <c r="DO87" s="414"/>
      <c r="DP87" s="414"/>
      <c r="DQ87" s="414"/>
      <c r="DR87" s="414"/>
      <c r="DS87" s="414"/>
      <c r="DT87" s="414"/>
      <c r="DU87" s="414"/>
      <c r="DV87" s="415"/>
      <c r="DW87" s="415"/>
      <c r="DX87" s="442"/>
      <c r="DY87" s="415"/>
      <c r="DZ87" s="415"/>
      <c r="EA87" s="415"/>
      <c r="EB87" s="415"/>
      <c r="EC87" s="415"/>
      <c r="ED87" s="415"/>
      <c r="EE87" s="415"/>
      <c r="EF87" s="415"/>
      <c r="EG87" s="415"/>
      <c r="EH87" s="415"/>
      <c r="EI87" s="415"/>
      <c r="EJ87" s="415"/>
      <c r="EK87" s="414"/>
      <c r="EL87" s="414"/>
      <c r="EM87" s="414"/>
      <c r="EN87" s="414"/>
      <c r="EO87" s="414"/>
      <c r="EP87" s="414"/>
      <c r="EQ87" s="414"/>
      <c r="ER87" s="414"/>
      <c r="ES87" s="414"/>
      <c r="ET87" s="414"/>
      <c r="EU87" s="414"/>
      <c r="EV87" s="414"/>
      <c r="EW87" s="414"/>
      <c r="EX87" s="414"/>
      <c r="EY87" s="414"/>
      <c r="EZ87" s="414"/>
      <c r="FA87" s="414"/>
      <c r="FB87" s="414"/>
      <c r="FC87" s="414"/>
      <c r="FD87" s="414"/>
      <c r="FE87" s="414"/>
      <c r="FF87" s="414"/>
      <c r="FG87" s="414"/>
      <c r="FH87" s="414"/>
      <c r="FI87" s="415"/>
      <c r="FJ87" s="415"/>
      <c r="FK87" s="415"/>
      <c r="FL87" s="387"/>
      <c r="FM87" s="387"/>
      <c r="FN87" s="387"/>
      <c r="FO87" s="387"/>
      <c r="FP87" s="387"/>
      <c r="FQ87" s="387"/>
      <c r="FR87" s="387"/>
      <c r="FS87" s="387"/>
      <c r="FT87" s="387"/>
      <c r="FU87" s="387"/>
      <c r="FV87" s="387"/>
      <c r="FW87" s="387"/>
      <c r="FX87" s="387"/>
      <c r="FY87" s="387"/>
      <c r="FZ87" s="387"/>
      <c r="GA87" s="387"/>
      <c r="GB87" s="387"/>
      <c r="GC87" s="387"/>
      <c r="GD87" s="387"/>
      <c r="GE87" s="387"/>
      <c r="GF87" s="387"/>
      <c r="GG87" s="387"/>
      <c r="GH87" s="387"/>
      <c r="GI87" s="387"/>
      <c r="GJ87" s="387"/>
      <c r="GK87" s="387"/>
      <c r="GL87" s="387"/>
      <c r="GM87" s="387"/>
      <c r="GN87" s="387"/>
      <c r="GO87" s="387"/>
      <c r="GP87" s="387"/>
      <c r="GQ87" s="387"/>
      <c r="GR87" s="387"/>
      <c r="GS87" s="387"/>
      <c r="GT87" s="387"/>
      <c r="GU87" s="387"/>
      <c r="GV87" s="387"/>
      <c r="GW87" s="387"/>
      <c r="GX87" s="387"/>
      <c r="GY87" s="387"/>
      <c r="GZ87" s="387"/>
      <c r="HA87" s="387"/>
      <c r="HB87" s="387"/>
      <c r="HC87" s="387"/>
      <c r="HD87" s="387"/>
      <c r="HE87" s="387"/>
      <c r="HF87" s="387"/>
      <c r="HG87" s="387"/>
      <c r="HH87" s="387"/>
      <c r="HI87" s="387"/>
      <c r="HJ87" s="387"/>
      <c r="HK87" s="387"/>
      <c r="HL87" s="387"/>
      <c r="HM87" s="387"/>
      <c r="HN87" s="387"/>
      <c r="HO87" s="387"/>
      <c r="HP87" s="387"/>
      <c r="HQ87" s="387"/>
      <c r="HR87" s="387"/>
      <c r="HS87" s="387"/>
      <c r="HT87" s="387"/>
      <c r="HU87" s="387"/>
      <c r="HV87" s="387"/>
      <c r="HW87" s="387"/>
      <c r="HX87" s="387"/>
      <c r="HY87" s="387"/>
      <c r="HZ87" s="387"/>
      <c r="IA87" s="387"/>
      <c r="IB87" s="387"/>
      <c r="IC87" s="387"/>
      <c r="ID87" s="387"/>
      <c r="IE87" s="327"/>
      <c r="IF87" s="327"/>
      <c r="IG87" s="327"/>
      <c r="IH87" s="327"/>
      <c r="II87" s="327"/>
      <c r="IJ87" s="327"/>
      <c r="IK87" s="327"/>
      <c r="IL87" s="327"/>
      <c r="IM87" s="327"/>
      <c r="IN87" s="327"/>
    </row>
    <row r="88" spans="1:248" s="321" customFormat="1" ht="21" customHeight="1" x14ac:dyDescent="0.2">
      <c r="A88" s="449"/>
      <c r="B88" s="449"/>
      <c r="C88" s="449"/>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05"/>
      <c r="AD88" s="384"/>
      <c r="AE88" s="440"/>
      <c r="AF88" s="440"/>
      <c r="AG88" s="440"/>
      <c r="AH88" s="440"/>
      <c r="AI88" s="440"/>
      <c r="AJ88" s="440"/>
      <c r="AK88" s="440"/>
      <c r="AL88" s="440"/>
      <c r="AM88" s="440"/>
      <c r="AN88" s="440"/>
      <c r="AO88" s="440"/>
      <c r="AP88" s="440"/>
      <c r="AQ88" s="440"/>
      <c r="AR88" s="440"/>
      <c r="AS88" s="440"/>
      <c r="AT88" s="414"/>
      <c r="AU88" s="414"/>
      <c r="AV88" s="442">
        <f>SUM(AV32:AV63)</f>
        <v>0</v>
      </c>
      <c r="AW88" s="442"/>
      <c r="AX88" s="442">
        <f t="shared" ref="AX88:BS88" si="103">SUM(AX32:AX63)</f>
        <v>0</v>
      </c>
      <c r="AY88" s="442"/>
      <c r="AZ88" s="442">
        <f t="shared" si="103"/>
        <v>0</v>
      </c>
      <c r="BA88" s="442"/>
      <c r="BB88" s="442">
        <f t="shared" si="103"/>
        <v>0</v>
      </c>
      <c r="BC88" s="442"/>
      <c r="BD88" s="442">
        <f t="shared" si="103"/>
        <v>0</v>
      </c>
      <c r="BE88" s="442"/>
      <c r="BF88" s="442">
        <f t="shared" si="103"/>
        <v>0</v>
      </c>
      <c r="BG88" s="442"/>
      <c r="BH88" s="442">
        <f t="shared" si="103"/>
        <v>0</v>
      </c>
      <c r="BI88" s="442"/>
      <c r="BJ88" s="442">
        <f t="shared" si="103"/>
        <v>0</v>
      </c>
      <c r="BK88" s="442"/>
      <c r="BL88" s="442">
        <f t="shared" si="103"/>
        <v>0</v>
      </c>
      <c r="BM88" s="442"/>
      <c r="BN88" s="442">
        <f t="shared" si="103"/>
        <v>0</v>
      </c>
      <c r="BO88" s="442"/>
      <c r="BP88" s="442">
        <f t="shared" si="103"/>
        <v>0</v>
      </c>
      <c r="BQ88" s="442"/>
      <c r="BR88" s="442">
        <f t="shared" si="103"/>
        <v>0</v>
      </c>
      <c r="BS88" s="442">
        <f t="shared" si="103"/>
        <v>0</v>
      </c>
      <c r="BT88" s="414"/>
      <c r="BU88" s="414"/>
      <c r="BV88" s="414"/>
      <c r="BW88" s="436">
        <f>SUM(BW32:BW62)</f>
        <v>3.1000000000000008E-5</v>
      </c>
      <c r="BX88" s="436"/>
      <c r="BY88" s="436">
        <f>SUM(BY32:BY62)</f>
        <v>2.800000000000001E-5</v>
      </c>
      <c r="BZ88" s="436"/>
      <c r="CA88" s="436">
        <f>SUM(CA32:CA62)</f>
        <v>3.1000000000000008E-5</v>
      </c>
      <c r="CB88" s="436"/>
      <c r="CC88" s="436">
        <f>SUM(CC32:CC62)</f>
        <v>3.0000000000000011E-5</v>
      </c>
      <c r="CD88" s="436"/>
      <c r="CE88" s="436">
        <f>SUM(CE32:CE62)</f>
        <v>3.1000000000000008E-5</v>
      </c>
      <c r="CF88" s="436"/>
      <c r="CG88" s="436">
        <f>SUM(CG32:CG62)</f>
        <v>3.0000000000000011E-5</v>
      </c>
      <c r="CH88" s="436"/>
      <c r="CI88" s="436">
        <f>SUM(CI32:CI62)</f>
        <v>3.1000000000000008E-5</v>
      </c>
      <c r="CJ88" s="436"/>
      <c r="CK88" s="436">
        <f>SUM(CK32:CK62)</f>
        <v>3.1000000000000008E-5</v>
      </c>
      <c r="CL88" s="436"/>
      <c r="CM88" s="436">
        <f>SUM(CM32:CM62)</f>
        <v>3.0000000000000011E-5</v>
      </c>
      <c r="CN88" s="436"/>
      <c r="CO88" s="436">
        <f>SUM(CO32:CO62)</f>
        <v>3.1000000000000008E-5</v>
      </c>
      <c r="CP88" s="436"/>
      <c r="CQ88" s="436">
        <f>SUM(CQ32:CQ62)</f>
        <v>3.0000000000000011E-5</v>
      </c>
      <c r="CR88" s="436"/>
      <c r="CS88" s="436">
        <f>SUM(CS32:CS62)</f>
        <v>3.1000000000000008E-5</v>
      </c>
      <c r="CT88" s="436"/>
      <c r="CU88" s="444">
        <f>SUM(BW88:CS88)</f>
        <v>3.6500000000000009E-4</v>
      </c>
      <c r="CV88" s="444"/>
      <c r="CW88" s="415"/>
      <c r="CX88" s="415"/>
      <c r="CY88" s="415"/>
      <c r="CZ88" s="415"/>
      <c r="DA88" s="415"/>
      <c r="DB88" s="415"/>
      <c r="DC88" s="415"/>
      <c r="DD88" s="415"/>
      <c r="DE88" s="415"/>
      <c r="DF88" s="415"/>
      <c r="DG88" s="415"/>
      <c r="DH88" s="415"/>
      <c r="DI88" s="415"/>
      <c r="DJ88" s="414"/>
      <c r="DK88" s="414"/>
      <c r="DL88" s="414"/>
      <c r="DM88" s="414"/>
      <c r="DN88" s="414"/>
      <c r="DO88" s="414"/>
      <c r="DP88" s="414"/>
      <c r="DQ88" s="414"/>
      <c r="DR88" s="414"/>
      <c r="DS88" s="414"/>
      <c r="DT88" s="414"/>
      <c r="DU88" s="414"/>
      <c r="DV88" s="415"/>
      <c r="DW88" s="415"/>
      <c r="DX88" s="442"/>
      <c r="DY88" s="415"/>
      <c r="DZ88" s="415"/>
      <c r="EA88" s="415"/>
      <c r="EB88" s="415"/>
      <c r="EC88" s="415"/>
      <c r="ED88" s="415"/>
      <c r="EE88" s="415"/>
      <c r="EF88" s="415"/>
      <c r="EG88" s="415"/>
      <c r="EH88" s="415"/>
      <c r="EI88" s="415"/>
      <c r="EJ88" s="415"/>
      <c r="EK88" s="414"/>
      <c r="EL88" s="436">
        <f>SUM(EL32:EL62)</f>
        <v>0</v>
      </c>
      <c r="EM88" s="436"/>
      <c r="EN88" s="436">
        <f>SUM(EN32:EN62)</f>
        <v>0</v>
      </c>
      <c r="EO88" s="436"/>
      <c r="EP88" s="436">
        <f>SUM(EP32:EP62)</f>
        <v>0</v>
      </c>
      <c r="EQ88" s="436"/>
      <c r="ER88" s="436">
        <f>SUM(ER32:ER62)</f>
        <v>0</v>
      </c>
      <c r="ES88" s="436"/>
      <c r="ET88" s="436">
        <f>SUM(ET32:ET62)</f>
        <v>0</v>
      </c>
      <c r="EU88" s="436"/>
      <c r="EV88" s="436">
        <f>SUM(EV32:EV62)</f>
        <v>0</v>
      </c>
      <c r="EW88" s="436"/>
      <c r="EX88" s="436">
        <f>SUM(EX32:EX62)</f>
        <v>0</v>
      </c>
      <c r="EY88" s="436"/>
      <c r="EZ88" s="436">
        <f>SUM(EZ32:EZ62)</f>
        <v>0</v>
      </c>
      <c r="FA88" s="436"/>
      <c r="FB88" s="436">
        <f>SUM(FB32:FB62)</f>
        <v>0</v>
      </c>
      <c r="FC88" s="436"/>
      <c r="FD88" s="436">
        <f>SUM(FD32:FD62)</f>
        <v>0</v>
      </c>
      <c r="FE88" s="436"/>
      <c r="FF88" s="436">
        <f>SUM(FF32:FF62)</f>
        <v>0</v>
      </c>
      <c r="FG88" s="436"/>
      <c r="FH88" s="436">
        <f>SUM(FH32:FH62)</f>
        <v>0</v>
      </c>
      <c r="FI88" s="415"/>
      <c r="FJ88" s="415"/>
      <c r="FK88" s="415"/>
      <c r="FL88" s="387"/>
      <c r="FM88" s="387"/>
      <c r="FN88" s="387"/>
      <c r="FO88" s="387"/>
      <c r="FP88" s="387"/>
      <c r="FQ88" s="387"/>
      <c r="FR88" s="387"/>
      <c r="FS88" s="387"/>
      <c r="FT88" s="387"/>
      <c r="FU88" s="387"/>
      <c r="FV88" s="387"/>
      <c r="FW88" s="387"/>
      <c r="FX88" s="387"/>
      <c r="FY88" s="387"/>
      <c r="FZ88" s="387"/>
      <c r="GA88" s="387"/>
      <c r="GB88" s="387"/>
      <c r="GC88" s="387"/>
      <c r="GD88" s="387"/>
      <c r="GE88" s="387"/>
      <c r="GF88" s="387"/>
      <c r="GG88" s="387"/>
      <c r="GH88" s="387"/>
      <c r="GI88" s="387"/>
      <c r="GJ88" s="387"/>
      <c r="GK88" s="387"/>
      <c r="GL88" s="387"/>
      <c r="GM88" s="387"/>
      <c r="GN88" s="387"/>
      <c r="GO88" s="387"/>
      <c r="GP88" s="387"/>
      <c r="GQ88" s="387"/>
      <c r="GR88" s="387"/>
      <c r="GS88" s="387"/>
      <c r="GT88" s="387"/>
      <c r="GU88" s="387"/>
      <c r="GV88" s="387"/>
      <c r="GW88" s="387"/>
      <c r="GX88" s="387"/>
      <c r="GY88" s="387"/>
      <c r="GZ88" s="387"/>
      <c r="HA88" s="387"/>
      <c r="HB88" s="387"/>
      <c r="HC88" s="387"/>
      <c r="HD88" s="387"/>
      <c r="HE88" s="387"/>
      <c r="HF88" s="387"/>
      <c r="HG88" s="387"/>
      <c r="HH88" s="387"/>
      <c r="HI88" s="387"/>
      <c r="HJ88" s="387"/>
      <c r="HK88" s="387"/>
      <c r="HL88" s="387"/>
      <c r="HM88" s="387"/>
      <c r="HN88" s="387"/>
      <c r="HO88" s="387"/>
      <c r="HP88" s="387"/>
      <c r="HQ88" s="387"/>
      <c r="HR88" s="387"/>
      <c r="HS88" s="387"/>
      <c r="HT88" s="387"/>
      <c r="HU88" s="387"/>
      <c r="HV88" s="387"/>
      <c r="HW88" s="387"/>
      <c r="HX88" s="387"/>
      <c r="HY88" s="387"/>
      <c r="HZ88" s="387"/>
      <c r="IA88" s="387"/>
      <c r="IB88" s="387"/>
      <c r="IC88" s="387"/>
      <c r="ID88" s="387"/>
      <c r="IE88" s="327"/>
      <c r="IF88" s="327"/>
      <c r="IG88" s="327"/>
      <c r="IH88" s="327"/>
      <c r="II88" s="327"/>
      <c r="IJ88" s="327"/>
      <c r="IK88" s="327"/>
      <c r="IL88" s="327"/>
      <c r="IM88" s="327"/>
      <c r="IN88" s="327"/>
    </row>
    <row r="89" spans="1:248" s="321" customFormat="1" ht="21" customHeight="1" x14ac:dyDescent="0.25">
      <c r="A89" s="449"/>
      <c r="B89" s="449"/>
      <c r="C89" s="449"/>
      <c r="D89" s="449"/>
      <c r="E89" s="449"/>
      <c r="F89" s="449"/>
      <c r="G89" s="449"/>
      <c r="H89" s="449"/>
      <c r="I89" s="449"/>
      <c r="J89" s="449"/>
      <c r="K89" s="449"/>
      <c r="L89" s="449"/>
      <c r="M89" s="449"/>
      <c r="N89" s="449"/>
      <c r="O89" s="449"/>
      <c r="P89" s="449"/>
      <c r="Q89" s="449"/>
      <c r="R89" s="449"/>
      <c r="S89" s="449"/>
      <c r="T89" s="449"/>
      <c r="U89" s="449"/>
      <c r="V89" s="449"/>
      <c r="W89" s="449"/>
      <c r="X89" s="449"/>
      <c r="Y89" s="449"/>
      <c r="Z89" s="449"/>
      <c r="AA89" s="462"/>
      <c r="AB89" s="437"/>
      <c r="AC89" s="405"/>
      <c r="AD89" s="386"/>
      <c r="AE89" s="436"/>
      <c r="AF89" s="436">
        <f t="shared" ref="AF89:AQ89" si="104">COUNT(AF32:AF62)</f>
        <v>0</v>
      </c>
      <c r="AG89" s="436">
        <f t="shared" si="104"/>
        <v>0</v>
      </c>
      <c r="AH89" s="436">
        <f t="shared" si="104"/>
        <v>0</v>
      </c>
      <c r="AI89" s="436">
        <f t="shared" si="104"/>
        <v>0</v>
      </c>
      <c r="AJ89" s="436">
        <f t="shared" si="104"/>
        <v>0</v>
      </c>
      <c r="AK89" s="436">
        <f t="shared" si="104"/>
        <v>0</v>
      </c>
      <c r="AL89" s="436">
        <f t="shared" si="104"/>
        <v>0</v>
      </c>
      <c r="AM89" s="436">
        <f t="shared" si="104"/>
        <v>0</v>
      </c>
      <c r="AN89" s="436">
        <f t="shared" si="104"/>
        <v>0</v>
      </c>
      <c r="AO89" s="436">
        <f t="shared" si="104"/>
        <v>0</v>
      </c>
      <c r="AP89" s="436">
        <f t="shared" si="104"/>
        <v>0</v>
      </c>
      <c r="AQ89" s="436">
        <f t="shared" si="104"/>
        <v>0</v>
      </c>
      <c r="AR89" s="436"/>
      <c r="AS89" s="436"/>
      <c r="AT89" s="414"/>
      <c r="AU89" s="414"/>
      <c r="AV89" s="436">
        <f>COUNT(AV32:AV62)</f>
        <v>0</v>
      </c>
      <c r="AW89" s="414"/>
      <c r="AX89" s="436">
        <f>COUNT(AX32:AX62)</f>
        <v>0</v>
      </c>
      <c r="AY89" s="414"/>
      <c r="AZ89" s="436">
        <f>COUNT(AZ32:AZ62)</f>
        <v>0</v>
      </c>
      <c r="BA89" s="414"/>
      <c r="BB89" s="436">
        <f>COUNT(BB32:BB62)</f>
        <v>0</v>
      </c>
      <c r="BC89" s="414"/>
      <c r="BD89" s="436">
        <f>COUNT(BD32:BD62)</f>
        <v>0</v>
      </c>
      <c r="BE89" s="414"/>
      <c r="BF89" s="436">
        <f>COUNT(BF32:BF62)</f>
        <v>0</v>
      </c>
      <c r="BG89" s="414"/>
      <c r="BH89" s="436">
        <f>COUNT(BH32:BH62)</f>
        <v>0</v>
      </c>
      <c r="BI89" s="414"/>
      <c r="BJ89" s="436">
        <f>COUNT(BJ32:BJ62)</f>
        <v>0</v>
      </c>
      <c r="BK89" s="414"/>
      <c r="BL89" s="436">
        <f>COUNT(BL32:BL62)</f>
        <v>0</v>
      </c>
      <c r="BM89" s="414"/>
      <c r="BN89" s="436">
        <f>COUNT(BN32:BN62)</f>
        <v>0</v>
      </c>
      <c r="BO89" s="414"/>
      <c r="BP89" s="436">
        <f>COUNT(BP32:BP62)</f>
        <v>0</v>
      </c>
      <c r="BQ89" s="414"/>
      <c r="BR89" s="436">
        <f>COUNT(BR32:BR62)</f>
        <v>0</v>
      </c>
      <c r="BS89" s="425"/>
      <c r="BT89" s="425"/>
      <c r="BU89" s="425"/>
      <c r="BV89" s="425"/>
      <c r="BW89" s="436">
        <f>COUNT(BW32:BW62)</f>
        <v>31</v>
      </c>
      <c r="BX89" s="436"/>
      <c r="BY89" s="436">
        <f>COUNT(BY32:BY62)</f>
        <v>28</v>
      </c>
      <c r="BZ89" s="436"/>
      <c r="CA89" s="436">
        <f>COUNT(CA32:CA62)</f>
        <v>31</v>
      </c>
      <c r="CB89" s="436"/>
      <c r="CC89" s="436">
        <f>COUNT(CC32:CC62)</f>
        <v>30</v>
      </c>
      <c r="CD89" s="436"/>
      <c r="CE89" s="436">
        <f>COUNT(CE32:CE62)</f>
        <v>31</v>
      </c>
      <c r="CF89" s="436"/>
      <c r="CG89" s="436">
        <f>COUNT(CG32:CG62)</f>
        <v>30</v>
      </c>
      <c r="CH89" s="436"/>
      <c r="CI89" s="436">
        <f>COUNT(CI32:CI62)</f>
        <v>31</v>
      </c>
      <c r="CJ89" s="436"/>
      <c r="CK89" s="436">
        <f>COUNT(CK32:CK62)</f>
        <v>31</v>
      </c>
      <c r="CL89" s="436"/>
      <c r="CM89" s="436">
        <f>COUNT(CM32:CM62)</f>
        <v>30</v>
      </c>
      <c r="CN89" s="436"/>
      <c r="CO89" s="436">
        <f>COUNT(CO32:CO62)</f>
        <v>31</v>
      </c>
      <c r="CP89" s="436"/>
      <c r="CQ89" s="436">
        <f>COUNT(CQ32:CQ62)</f>
        <v>30</v>
      </c>
      <c r="CR89" s="436"/>
      <c r="CS89" s="436">
        <f>COUNT(CS32:CS62)</f>
        <v>31</v>
      </c>
      <c r="CT89" s="436"/>
      <c r="CU89" s="445">
        <f>SUM(BW89:CS89)</f>
        <v>365</v>
      </c>
      <c r="CV89" s="445"/>
      <c r="CW89" s="415"/>
      <c r="CX89" s="415"/>
      <c r="CY89" s="415"/>
      <c r="CZ89" s="415"/>
      <c r="DA89" s="415"/>
      <c r="DB89" s="415"/>
      <c r="DC89" s="415"/>
      <c r="DD89" s="415"/>
      <c r="DE89" s="415"/>
      <c r="DF89" s="415"/>
      <c r="DG89" s="415"/>
      <c r="DH89" s="415"/>
      <c r="DI89" s="415"/>
      <c r="DJ89" s="414"/>
      <c r="DK89" s="414"/>
      <c r="DL89" s="414"/>
      <c r="DM89" s="414"/>
      <c r="DN89" s="414"/>
      <c r="DO89" s="414"/>
      <c r="DP89" s="414"/>
      <c r="DQ89" s="414"/>
      <c r="DR89" s="414"/>
      <c r="DS89" s="414"/>
      <c r="DT89" s="414"/>
      <c r="DU89" s="414"/>
      <c r="DV89" s="415"/>
      <c r="DW89" s="415"/>
      <c r="DX89" s="415"/>
      <c r="DY89" s="415"/>
      <c r="DZ89" s="415"/>
      <c r="EA89" s="415"/>
      <c r="EB89" s="415"/>
      <c r="EC89" s="415"/>
      <c r="ED89" s="415"/>
      <c r="EE89" s="415"/>
      <c r="EF89" s="415"/>
      <c r="EG89" s="415"/>
      <c r="EH89" s="415"/>
      <c r="EI89" s="415"/>
      <c r="EJ89" s="415"/>
      <c r="EK89" s="414"/>
      <c r="EL89" s="436">
        <f>COUNT(EL32:EL62)</f>
        <v>0</v>
      </c>
      <c r="EM89" s="436"/>
      <c r="EN89" s="436">
        <f>COUNT(EN32:EN62)</f>
        <v>0</v>
      </c>
      <c r="EO89" s="436"/>
      <c r="EP89" s="436">
        <f>COUNT(EP32:EP62)</f>
        <v>0</v>
      </c>
      <c r="EQ89" s="436"/>
      <c r="ER89" s="436">
        <f>COUNT(ER32:ER62)</f>
        <v>0</v>
      </c>
      <c r="ES89" s="436"/>
      <c r="ET89" s="436">
        <f>COUNT(ET32:ET62)</f>
        <v>0</v>
      </c>
      <c r="EU89" s="436"/>
      <c r="EV89" s="436">
        <f>COUNT(EV32:EV62)</f>
        <v>0</v>
      </c>
      <c r="EW89" s="436"/>
      <c r="EX89" s="436">
        <f>COUNT(EX32:EX62)</f>
        <v>0</v>
      </c>
      <c r="EY89" s="436"/>
      <c r="EZ89" s="436">
        <f>COUNT(EZ32:EZ62)</f>
        <v>0</v>
      </c>
      <c r="FA89" s="436"/>
      <c r="FB89" s="436">
        <f>COUNT(FB32:FB62)</f>
        <v>0</v>
      </c>
      <c r="FC89" s="436"/>
      <c r="FD89" s="436">
        <f>COUNT(FD32:FD62)</f>
        <v>0</v>
      </c>
      <c r="FE89" s="436"/>
      <c r="FF89" s="436">
        <f>COUNT(FF32:FF62)</f>
        <v>0</v>
      </c>
      <c r="FG89" s="436"/>
      <c r="FH89" s="436">
        <f>COUNT(FH32:FH62)</f>
        <v>0</v>
      </c>
      <c r="FI89" s="415"/>
      <c r="FJ89" s="415"/>
      <c r="FK89" s="415"/>
      <c r="FL89" s="387"/>
      <c r="FM89" s="387"/>
      <c r="FN89" s="387"/>
      <c r="FO89" s="387"/>
      <c r="FP89" s="387"/>
      <c r="FQ89" s="387"/>
      <c r="FR89" s="387"/>
      <c r="FS89" s="387"/>
      <c r="FT89" s="387"/>
      <c r="FU89" s="387"/>
      <c r="FV89" s="387"/>
      <c r="FW89" s="387"/>
      <c r="FX89" s="387"/>
      <c r="FY89" s="387"/>
      <c r="FZ89" s="387"/>
      <c r="GA89" s="387"/>
      <c r="GB89" s="387"/>
      <c r="GC89" s="387"/>
      <c r="GD89" s="387"/>
      <c r="GE89" s="387"/>
      <c r="GF89" s="387"/>
      <c r="GG89" s="387"/>
      <c r="GH89" s="387"/>
      <c r="GI89" s="387"/>
      <c r="GJ89" s="387"/>
      <c r="GK89" s="387"/>
      <c r="GL89" s="387"/>
      <c r="GM89" s="387"/>
      <c r="GN89" s="387"/>
      <c r="GO89" s="387"/>
      <c r="GP89" s="387"/>
      <c r="GQ89" s="387"/>
      <c r="GR89" s="387"/>
      <c r="GS89" s="387"/>
      <c r="GT89" s="387"/>
      <c r="GU89" s="387"/>
      <c r="GV89" s="387"/>
      <c r="GW89" s="387"/>
      <c r="GX89" s="387"/>
      <c r="GY89" s="387"/>
      <c r="GZ89" s="387"/>
      <c r="HA89" s="387"/>
      <c r="HB89" s="387"/>
      <c r="HC89" s="387"/>
      <c r="HD89" s="387"/>
      <c r="HE89" s="387"/>
      <c r="HF89" s="387"/>
      <c r="HG89" s="387"/>
      <c r="HH89" s="387"/>
      <c r="HI89" s="387"/>
      <c r="HJ89" s="387"/>
      <c r="HK89" s="387"/>
      <c r="HL89" s="387"/>
      <c r="HM89" s="387"/>
      <c r="HN89" s="387"/>
      <c r="HO89" s="387"/>
      <c r="HP89" s="387"/>
      <c r="HQ89" s="387"/>
      <c r="HR89" s="387"/>
      <c r="HS89" s="387"/>
      <c r="HT89" s="387"/>
      <c r="HU89" s="387"/>
      <c r="HV89" s="387"/>
      <c r="HW89" s="387"/>
      <c r="HX89" s="387"/>
      <c r="HY89" s="387"/>
      <c r="HZ89" s="387"/>
      <c r="IA89" s="387"/>
      <c r="IB89" s="387"/>
      <c r="IC89" s="387"/>
      <c r="ID89" s="387"/>
      <c r="IE89" s="327"/>
      <c r="IF89" s="327"/>
      <c r="IG89" s="327"/>
      <c r="IH89" s="327"/>
      <c r="II89" s="327"/>
      <c r="IJ89" s="327"/>
      <c r="IK89" s="327"/>
      <c r="IL89" s="327"/>
      <c r="IM89" s="327"/>
      <c r="IN89" s="327"/>
    </row>
    <row r="90" spans="1:248" s="321" customFormat="1" ht="21" customHeight="1" x14ac:dyDescent="0.2">
      <c r="A90" s="449"/>
      <c r="B90" s="463"/>
      <c r="C90" s="463"/>
      <c r="D90" s="463"/>
      <c r="E90" s="482" t="str">
        <f>IF(AB64&lt;365/2,"weniger als die Hälfte an Trockenwettertagen ! "," ")</f>
        <v xml:space="preserve">weniger als die Hälfte an Trockenwettertagen ! </v>
      </c>
      <c r="F90" s="483"/>
      <c r="G90" s="483"/>
      <c r="H90" s="483"/>
      <c r="I90" s="483"/>
      <c r="J90" s="483"/>
      <c r="K90" s="483"/>
      <c r="L90" s="483"/>
      <c r="M90" s="483"/>
      <c r="N90" s="483"/>
      <c r="O90" s="483"/>
      <c r="P90" s="449"/>
      <c r="Q90" s="449"/>
      <c r="R90" s="449"/>
      <c r="S90" s="449"/>
      <c r="T90" s="449"/>
      <c r="U90" s="449"/>
      <c r="V90" s="449"/>
      <c r="W90" s="449"/>
      <c r="X90" s="449"/>
      <c r="Y90" s="449"/>
      <c r="Z90" s="449"/>
      <c r="AA90" s="449"/>
      <c r="AB90" s="464"/>
      <c r="AC90" s="405"/>
      <c r="AD90" s="386"/>
      <c r="AE90" s="436"/>
      <c r="AF90" s="436"/>
      <c r="AG90" s="436"/>
      <c r="AH90" s="436"/>
      <c r="AI90" s="436"/>
      <c r="AJ90" s="436"/>
      <c r="AK90" s="436"/>
      <c r="AL90" s="436"/>
      <c r="AM90" s="436"/>
      <c r="AN90" s="436"/>
      <c r="AO90" s="436"/>
      <c r="AP90" s="436"/>
      <c r="AQ90" s="436"/>
      <c r="AR90" s="436"/>
      <c r="AS90" s="436"/>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t="s">
        <v>3</v>
      </c>
      <c r="BS90" s="414"/>
      <c r="BT90" s="414"/>
      <c r="BU90" s="414"/>
      <c r="BV90" s="414"/>
      <c r="BW90" s="436"/>
      <c r="BX90" s="436"/>
      <c r="BY90" s="436"/>
      <c r="BZ90" s="436"/>
      <c r="CA90" s="436"/>
      <c r="CB90" s="436"/>
      <c r="CC90" s="436"/>
      <c r="CD90" s="436"/>
      <c r="CE90" s="436"/>
      <c r="CF90" s="436"/>
      <c r="CG90" s="436"/>
      <c r="CH90" s="436"/>
      <c r="CI90" s="436"/>
      <c r="CJ90" s="436"/>
      <c r="CK90" s="436"/>
      <c r="CL90" s="436"/>
      <c r="CM90" s="436"/>
      <c r="CN90" s="436"/>
      <c r="CO90" s="436"/>
      <c r="CP90" s="436"/>
      <c r="CQ90" s="436"/>
      <c r="CR90" s="436"/>
      <c r="CS90" s="436"/>
      <c r="CT90" s="436"/>
      <c r="CU90" s="414"/>
      <c r="CV90" s="414"/>
      <c r="CW90" s="415"/>
      <c r="CX90" s="415"/>
      <c r="CY90" s="415"/>
      <c r="CZ90" s="415"/>
      <c r="DA90" s="415"/>
      <c r="DB90" s="415"/>
      <c r="DC90" s="415"/>
      <c r="DD90" s="415"/>
      <c r="DE90" s="415"/>
      <c r="DF90" s="415"/>
      <c r="DG90" s="415"/>
      <c r="DH90" s="415"/>
      <c r="DI90" s="415"/>
      <c r="DJ90" s="414"/>
      <c r="DK90" s="414"/>
      <c r="DL90" s="414"/>
      <c r="DM90" s="414"/>
      <c r="DN90" s="414"/>
      <c r="DO90" s="414"/>
      <c r="DP90" s="414"/>
      <c r="DQ90" s="414"/>
      <c r="DR90" s="414"/>
      <c r="DS90" s="414"/>
      <c r="DT90" s="414"/>
      <c r="DU90" s="414"/>
      <c r="DV90" s="415"/>
      <c r="DW90" s="415"/>
      <c r="DX90" s="415"/>
      <c r="DY90" s="415"/>
      <c r="DZ90" s="415"/>
      <c r="EA90" s="415"/>
      <c r="EB90" s="415"/>
      <c r="EC90" s="415"/>
      <c r="ED90" s="415"/>
      <c r="EE90" s="415"/>
      <c r="EF90" s="415"/>
      <c r="EG90" s="415"/>
      <c r="EH90" s="415"/>
      <c r="EI90" s="415"/>
      <c r="EJ90" s="415"/>
      <c r="EK90" s="414"/>
      <c r="EL90" s="436"/>
      <c r="EM90" s="436"/>
      <c r="EN90" s="436"/>
      <c r="EO90" s="436"/>
      <c r="EP90" s="436"/>
      <c r="EQ90" s="436"/>
      <c r="ER90" s="436"/>
      <c r="ES90" s="436"/>
      <c r="ET90" s="436"/>
      <c r="EU90" s="436"/>
      <c r="EV90" s="436"/>
      <c r="EW90" s="436"/>
      <c r="EX90" s="436"/>
      <c r="EY90" s="436"/>
      <c r="EZ90" s="436"/>
      <c r="FA90" s="436"/>
      <c r="FB90" s="436"/>
      <c r="FC90" s="436"/>
      <c r="FD90" s="436"/>
      <c r="FE90" s="436"/>
      <c r="FF90" s="436"/>
      <c r="FG90" s="436"/>
      <c r="FH90" s="436"/>
      <c r="FI90" s="415"/>
      <c r="FJ90" s="415"/>
      <c r="FK90" s="415"/>
      <c r="FL90" s="387"/>
      <c r="FM90" s="387"/>
      <c r="FN90" s="387"/>
      <c r="FO90" s="387"/>
      <c r="FP90" s="387"/>
      <c r="FQ90" s="387"/>
      <c r="FR90" s="387"/>
      <c r="FS90" s="387"/>
      <c r="FT90" s="387"/>
      <c r="FU90" s="387"/>
      <c r="FV90" s="387"/>
      <c r="FW90" s="387"/>
      <c r="FX90" s="387"/>
      <c r="FY90" s="387"/>
      <c r="FZ90" s="387"/>
      <c r="GA90" s="387"/>
      <c r="GB90" s="387"/>
      <c r="GC90" s="387"/>
      <c r="GD90" s="387"/>
      <c r="GE90" s="387"/>
      <c r="GF90" s="387"/>
      <c r="GG90" s="387"/>
      <c r="GH90" s="387"/>
      <c r="GI90" s="387"/>
      <c r="GJ90" s="387"/>
      <c r="GK90" s="387"/>
      <c r="GL90" s="387"/>
      <c r="GM90" s="387"/>
      <c r="GN90" s="387"/>
      <c r="GO90" s="387"/>
      <c r="GP90" s="387"/>
      <c r="GQ90" s="387"/>
      <c r="GR90" s="387"/>
      <c r="GS90" s="387"/>
      <c r="GT90" s="387"/>
      <c r="GU90" s="387"/>
      <c r="GV90" s="387"/>
      <c r="GW90" s="387"/>
      <c r="GX90" s="387"/>
      <c r="GY90" s="387"/>
      <c r="GZ90" s="387"/>
      <c r="HA90" s="387"/>
      <c r="HB90" s="387"/>
      <c r="HC90" s="387"/>
      <c r="HD90" s="387"/>
      <c r="HE90" s="387"/>
      <c r="HF90" s="387"/>
      <c r="HG90" s="387"/>
      <c r="HH90" s="387"/>
      <c r="HI90" s="387"/>
      <c r="HJ90" s="387"/>
      <c r="HK90" s="387"/>
      <c r="HL90" s="387"/>
      <c r="HM90" s="387"/>
      <c r="HN90" s="387"/>
      <c r="HO90" s="387"/>
      <c r="HP90" s="387"/>
      <c r="HQ90" s="387"/>
      <c r="HR90" s="387"/>
      <c r="HS90" s="387"/>
      <c r="HT90" s="387"/>
      <c r="HU90" s="387"/>
      <c r="HV90" s="387"/>
      <c r="HW90" s="387"/>
      <c r="HX90" s="387"/>
      <c r="HY90" s="387"/>
      <c r="HZ90" s="387"/>
      <c r="IA90" s="387"/>
      <c r="IB90" s="387"/>
      <c r="IC90" s="387"/>
      <c r="ID90" s="387"/>
      <c r="IE90" s="327"/>
      <c r="IF90" s="327"/>
      <c r="IG90" s="327"/>
      <c r="IH90" s="327"/>
      <c r="II90" s="327"/>
      <c r="IJ90" s="327"/>
      <c r="IK90" s="327"/>
      <c r="IL90" s="327"/>
      <c r="IM90" s="327"/>
      <c r="IN90" s="327"/>
    </row>
    <row r="91" spans="1:248" s="321" customFormat="1" ht="21" customHeight="1" x14ac:dyDescent="0.2">
      <c r="A91" s="449"/>
      <c r="B91" s="465"/>
      <c r="C91" s="466"/>
      <c r="D91" s="467"/>
      <c r="E91" s="482" t="str">
        <f>AF91</f>
        <v>Das Ergebnis nach Wetterschlüssel hinterfragen. Es fehlen die Daten von mindestens einem Monat.</v>
      </c>
      <c r="F91" s="484"/>
      <c r="G91" s="484"/>
      <c r="H91" s="484"/>
      <c r="I91" s="484"/>
      <c r="J91" s="484"/>
      <c r="K91" s="484"/>
      <c r="L91" s="484"/>
      <c r="M91" s="484"/>
      <c r="N91" s="484"/>
      <c r="O91" s="484"/>
      <c r="P91" s="440"/>
      <c r="Q91" s="440"/>
      <c r="R91" s="440"/>
      <c r="S91" s="440"/>
      <c r="T91" s="440"/>
      <c r="U91" s="440"/>
      <c r="V91" s="440"/>
      <c r="W91" s="440"/>
      <c r="X91" s="440"/>
      <c r="Y91" s="440"/>
      <c r="Z91" s="440"/>
      <c r="AA91" s="440"/>
      <c r="AB91" s="440"/>
      <c r="AC91" s="406"/>
      <c r="AD91" s="385"/>
      <c r="AE91" s="443"/>
      <c r="AF91" s="430" t="str">
        <f>IF(COUNTIF(AF89:AQ89,0),"Das Ergebnis nach Wetterschlüssel hinterfragen. Es fehlen die Daten von mindestens einem Monat."," ")</f>
        <v>Das Ergebnis nach Wetterschlüssel hinterfragen. Es fehlen die Daten von mindestens einem Monat.</v>
      </c>
      <c r="AG91" s="436"/>
      <c r="AH91" s="436"/>
      <c r="AI91" s="436"/>
      <c r="AJ91" s="436"/>
      <c r="AK91" s="436"/>
      <c r="AL91" s="436"/>
      <c r="AM91" s="436"/>
      <c r="AN91" s="436"/>
      <c r="AO91" s="436"/>
      <c r="AP91" s="436"/>
      <c r="AQ91" s="436"/>
      <c r="AR91" s="436"/>
      <c r="AS91" s="436"/>
      <c r="AT91" s="414"/>
      <c r="AU91" s="414"/>
      <c r="AV91" s="414"/>
      <c r="AW91" s="414"/>
      <c r="AX91" s="414"/>
      <c r="AY91" s="414"/>
      <c r="AZ91" s="414"/>
      <c r="BA91" s="414"/>
      <c r="BB91" s="414"/>
      <c r="BC91" s="414"/>
      <c r="BD91" s="414"/>
      <c r="BE91" s="414"/>
      <c r="BF91" s="414"/>
      <c r="BG91" s="414"/>
      <c r="BH91" s="414"/>
      <c r="BI91" s="414"/>
      <c r="BJ91" s="414"/>
      <c r="BK91" s="414"/>
      <c r="BL91" s="414"/>
      <c r="BM91" s="414"/>
      <c r="BN91" s="414"/>
      <c r="BO91" s="414"/>
      <c r="BP91" s="414"/>
      <c r="BQ91" s="414"/>
      <c r="BR91" s="414"/>
      <c r="BS91" s="414"/>
      <c r="BT91" s="414"/>
      <c r="BU91" s="414"/>
      <c r="BV91" s="414"/>
      <c r="BW91" s="436">
        <f t="shared" ref="BW91:CS91" si="105">IF(BW89=0," ",SMALL(BW32:BW62,1))</f>
        <v>9.9999999999999995E-7</v>
      </c>
      <c r="BX91" s="436" t="str">
        <f t="shared" si="105"/>
        <v xml:space="preserve"> </v>
      </c>
      <c r="BY91" s="436">
        <f t="shared" si="105"/>
        <v>9.9999999999999995E-7</v>
      </c>
      <c r="BZ91" s="436" t="str">
        <f t="shared" si="105"/>
        <v xml:space="preserve"> </v>
      </c>
      <c r="CA91" s="436">
        <f t="shared" si="105"/>
        <v>9.9999999999999995E-7</v>
      </c>
      <c r="CB91" s="436" t="str">
        <f t="shared" si="105"/>
        <v xml:space="preserve"> </v>
      </c>
      <c r="CC91" s="436">
        <f t="shared" si="105"/>
        <v>9.9999999999999995E-7</v>
      </c>
      <c r="CD91" s="436" t="str">
        <f t="shared" si="105"/>
        <v xml:space="preserve"> </v>
      </c>
      <c r="CE91" s="436">
        <f t="shared" si="105"/>
        <v>9.9999999999999995E-7</v>
      </c>
      <c r="CF91" s="436" t="str">
        <f t="shared" si="105"/>
        <v xml:space="preserve"> </v>
      </c>
      <c r="CG91" s="436">
        <f t="shared" si="105"/>
        <v>9.9999999999999995E-7</v>
      </c>
      <c r="CH91" s="436" t="str">
        <f t="shared" si="105"/>
        <v xml:space="preserve"> </v>
      </c>
      <c r="CI91" s="436">
        <f t="shared" si="105"/>
        <v>9.9999999999999995E-7</v>
      </c>
      <c r="CJ91" s="436" t="str">
        <f t="shared" si="105"/>
        <v xml:space="preserve"> </v>
      </c>
      <c r="CK91" s="436">
        <f t="shared" si="105"/>
        <v>9.9999999999999995E-7</v>
      </c>
      <c r="CL91" s="436" t="str">
        <f t="shared" si="105"/>
        <v xml:space="preserve"> </v>
      </c>
      <c r="CM91" s="436">
        <f t="shared" si="105"/>
        <v>9.9999999999999995E-7</v>
      </c>
      <c r="CN91" s="436" t="str">
        <f t="shared" si="105"/>
        <v xml:space="preserve"> </v>
      </c>
      <c r="CO91" s="436">
        <f t="shared" si="105"/>
        <v>9.9999999999999995E-7</v>
      </c>
      <c r="CP91" s="436" t="str">
        <f t="shared" si="105"/>
        <v xml:space="preserve"> </v>
      </c>
      <c r="CQ91" s="436">
        <f t="shared" si="105"/>
        <v>9.9999999999999995E-7</v>
      </c>
      <c r="CR91" s="436" t="str">
        <f t="shared" si="105"/>
        <v xml:space="preserve"> </v>
      </c>
      <c r="CS91" s="436">
        <f t="shared" si="105"/>
        <v>9.9999999999999995E-7</v>
      </c>
      <c r="CT91" s="436"/>
      <c r="CU91" s="414">
        <f>SMALL(BW91:CS91,1)</f>
        <v>9.9999999999999995E-7</v>
      </c>
      <c r="CV91" s="414"/>
      <c r="CW91" s="415"/>
      <c r="CX91" s="415"/>
      <c r="CY91" s="415"/>
      <c r="CZ91" s="415"/>
      <c r="DA91" s="415"/>
      <c r="DB91" s="415"/>
      <c r="DC91" s="415"/>
      <c r="DD91" s="415"/>
      <c r="DE91" s="415"/>
      <c r="DF91" s="415"/>
      <c r="DG91" s="415"/>
      <c r="DH91" s="415"/>
      <c r="DI91" s="415"/>
      <c r="DJ91" s="414"/>
      <c r="DK91" s="414"/>
      <c r="DL91" s="414"/>
      <c r="DM91" s="414"/>
      <c r="DN91" s="414"/>
      <c r="DO91" s="414"/>
      <c r="DP91" s="414"/>
      <c r="DQ91" s="414"/>
      <c r="DR91" s="414"/>
      <c r="DS91" s="414"/>
      <c r="DT91" s="414"/>
      <c r="DU91" s="414"/>
      <c r="DV91" s="415"/>
      <c r="DW91" s="415"/>
      <c r="DX91" s="415"/>
      <c r="DY91" s="415"/>
      <c r="DZ91" s="415"/>
      <c r="EA91" s="415"/>
      <c r="EB91" s="415"/>
      <c r="EC91" s="415"/>
      <c r="ED91" s="415"/>
      <c r="EE91" s="415"/>
      <c r="EF91" s="415"/>
      <c r="EG91" s="415"/>
      <c r="EH91" s="415"/>
      <c r="EI91" s="415"/>
      <c r="EJ91" s="415"/>
      <c r="EK91" s="414"/>
      <c r="EL91" s="436" t="str">
        <f t="shared" ref="EL91:FH91" si="106">IF(EL89=0," ",SMALL(EL32:EL62,1))</f>
        <v xml:space="preserve"> </v>
      </c>
      <c r="EM91" s="436" t="str">
        <f t="shared" si="106"/>
        <v xml:space="preserve"> </v>
      </c>
      <c r="EN91" s="436" t="str">
        <f t="shared" si="106"/>
        <v xml:space="preserve"> </v>
      </c>
      <c r="EO91" s="436" t="str">
        <f t="shared" si="106"/>
        <v xml:space="preserve"> </v>
      </c>
      <c r="EP91" s="436" t="str">
        <f t="shared" si="106"/>
        <v xml:space="preserve"> </v>
      </c>
      <c r="EQ91" s="436" t="str">
        <f t="shared" si="106"/>
        <v xml:space="preserve"> </v>
      </c>
      <c r="ER91" s="436" t="str">
        <f t="shared" si="106"/>
        <v xml:space="preserve"> </v>
      </c>
      <c r="ES91" s="436" t="str">
        <f t="shared" si="106"/>
        <v xml:space="preserve"> </v>
      </c>
      <c r="ET91" s="436" t="str">
        <f t="shared" si="106"/>
        <v xml:space="preserve"> </v>
      </c>
      <c r="EU91" s="436" t="str">
        <f t="shared" si="106"/>
        <v xml:space="preserve"> </v>
      </c>
      <c r="EV91" s="436" t="str">
        <f t="shared" si="106"/>
        <v xml:space="preserve"> </v>
      </c>
      <c r="EW91" s="436" t="str">
        <f t="shared" si="106"/>
        <v xml:space="preserve"> </v>
      </c>
      <c r="EX91" s="436" t="str">
        <f t="shared" si="106"/>
        <v xml:space="preserve"> </v>
      </c>
      <c r="EY91" s="436" t="str">
        <f t="shared" si="106"/>
        <v xml:space="preserve"> </v>
      </c>
      <c r="EZ91" s="436" t="str">
        <f t="shared" si="106"/>
        <v xml:space="preserve"> </v>
      </c>
      <c r="FA91" s="436" t="str">
        <f t="shared" si="106"/>
        <v xml:space="preserve"> </v>
      </c>
      <c r="FB91" s="436" t="str">
        <f t="shared" si="106"/>
        <v xml:space="preserve"> </v>
      </c>
      <c r="FC91" s="436" t="str">
        <f t="shared" si="106"/>
        <v xml:space="preserve"> </v>
      </c>
      <c r="FD91" s="436" t="str">
        <f t="shared" si="106"/>
        <v xml:space="preserve"> </v>
      </c>
      <c r="FE91" s="436" t="str">
        <f t="shared" si="106"/>
        <v xml:space="preserve"> </v>
      </c>
      <c r="FF91" s="436" t="str">
        <f t="shared" si="106"/>
        <v xml:space="preserve"> </v>
      </c>
      <c r="FG91" s="436" t="str">
        <f t="shared" si="106"/>
        <v xml:space="preserve"> </v>
      </c>
      <c r="FH91" s="436" t="str">
        <f t="shared" si="106"/>
        <v xml:space="preserve"> </v>
      </c>
      <c r="FI91" s="422" t="s">
        <v>36</v>
      </c>
      <c r="FJ91" s="436" t="str">
        <f>IFERROR(SMALL(EL91:FH91,1),"")</f>
        <v/>
      </c>
      <c r="FK91" s="415"/>
      <c r="FL91" s="387"/>
      <c r="FM91" s="387"/>
      <c r="FN91" s="387"/>
      <c r="FO91" s="387"/>
      <c r="FP91" s="387"/>
      <c r="FQ91" s="387"/>
      <c r="FR91" s="387"/>
      <c r="FS91" s="387"/>
      <c r="FT91" s="387"/>
      <c r="FU91" s="387"/>
      <c r="FV91" s="387"/>
      <c r="FW91" s="387"/>
      <c r="FX91" s="387"/>
      <c r="FY91" s="387"/>
      <c r="FZ91" s="387"/>
      <c r="GA91" s="387"/>
      <c r="GB91" s="387"/>
      <c r="GC91" s="387"/>
      <c r="GD91" s="387"/>
      <c r="GE91" s="387"/>
      <c r="GF91" s="387"/>
      <c r="GG91" s="387"/>
      <c r="GH91" s="387"/>
      <c r="GI91" s="387"/>
      <c r="GJ91" s="387"/>
      <c r="GK91" s="387"/>
      <c r="GL91" s="387"/>
      <c r="GM91" s="387"/>
      <c r="GN91" s="387"/>
      <c r="GO91" s="387"/>
      <c r="GP91" s="387"/>
      <c r="GQ91" s="387"/>
      <c r="GR91" s="387"/>
      <c r="GS91" s="387"/>
      <c r="GT91" s="387"/>
      <c r="GU91" s="387"/>
      <c r="GV91" s="387"/>
      <c r="GW91" s="387"/>
      <c r="GX91" s="387"/>
      <c r="GY91" s="387"/>
      <c r="GZ91" s="387"/>
      <c r="HA91" s="387"/>
      <c r="HB91" s="387"/>
      <c r="HC91" s="387"/>
      <c r="HD91" s="387"/>
      <c r="HE91" s="387"/>
      <c r="HF91" s="387"/>
      <c r="HG91" s="387"/>
      <c r="HH91" s="387"/>
      <c r="HI91" s="387"/>
      <c r="HJ91" s="387"/>
      <c r="HK91" s="387"/>
      <c r="HL91" s="387"/>
      <c r="HM91" s="387"/>
      <c r="HN91" s="387"/>
      <c r="HO91" s="387"/>
      <c r="HP91" s="387"/>
      <c r="HQ91" s="387"/>
      <c r="HR91" s="387"/>
      <c r="HS91" s="387"/>
      <c r="HT91" s="387"/>
      <c r="HU91" s="387"/>
      <c r="HV91" s="387"/>
      <c r="HW91" s="387"/>
      <c r="HX91" s="387"/>
      <c r="HY91" s="387"/>
      <c r="HZ91" s="387"/>
      <c r="IA91" s="387"/>
      <c r="IB91" s="387"/>
      <c r="IC91" s="387"/>
      <c r="ID91" s="387"/>
      <c r="IE91" s="327"/>
      <c r="IF91" s="327"/>
      <c r="IG91" s="327"/>
      <c r="IH91" s="327"/>
      <c r="II91" s="327"/>
      <c r="IJ91" s="327"/>
      <c r="IK91" s="327"/>
      <c r="IL91" s="327"/>
      <c r="IM91" s="327"/>
      <c r="IN91" s="327"/>
    </row>
    <row r="92" spans="1:248" s="321" customFormat="1" ht="21" customHeight="1" x14ac:dyDescent="0.2">
      <c r="A92" s="449"/>
      <c r="B92" s="465"/>
      <c r="C92" s="466"/>
      <c r="D92" s="467"/>
      <c r="E92" s="482" t="str">
        <f>IF(AF65&lt;48,"Achtung, statistische Verfahren können wegen zu wenigen Daten nicht gewertet werden!"," ")</f>
        <v>Achtung, statistische Verfahren können wegen zu wenigen Daten nicht gewertet werden!</v>
      </c>
      <c r="F92" s="484"/>
      <c r="G92" s="484"/>
      <c r="H92" s="484"/>
      <c r="I92" s="484"/>
      <c r="J92" s="484"/>
      <c r="K92" s="484"/>
      <c r="L92" s="484"/>
      <c r="M92" s="484"/>
      <c r="N92" s="484"/>
      <c r="O92" s="484"/>
      <c r="P92" s="440"/>
      <c r="Q92" s="440"/>
      <c r="R92" s="440"/>
      <c r="S92" s="440"/>
      <c r="T92" s="440"/>
      <c r="U92" s="440"/>
      <c r="V92" s="440"/>
      <c r="W92" s="440"/>
      <c r="X92" s="440"/>
      <c r="Y92" s="440"/>
      <c r="Z92" s="440"/>
      <c r="AA92" s="440"/>
      <c r="AB92" s="440"/>
      <c r="AC92" s="406"/>
      <c r="AD92" s="385"/>
      <c r="AE92" s="443"/>
      <c r="AF92" s="436"/>
      <c r="AG92" s="436"/>
      <c r="AH92" s="436"/>
      <c r="AI92" s="436"/>
      <c r="AJ92" s="436"/>
      <c r="AK92" s="436"/>
      <c r="AL92" s="436"/>
      <c r="AM92" s="436"/>
      <c r="AN92" s="436"/>
      <c r="AO92" s="436"/>
      <c r="AP92" s="436"/>
      <c r="AQ92" s="436"/>
      <c r="AR92" s="436"/>
      <c r="AS92" s="436"/>
      <c r="AT92" s="414"/>
      <c r="AU92" s="414"/>
      <c r="AV92" s="414"/>
      <c r="AW92" s="414"/>
      <c r="AX92" s="414"/>
      <c r="AY92" s="414"/>
      <c r="AZ92" s="414"/>
      <c r="BA92" s="414"/>
      <c r="BB92" s="414"/>
      <c r="BC92" s="414"/>
      <c r="BD92" s="414"/>
      <c r="BE92" s="414"/>
      <c r="BF92" s="414"/>
      <c r="BG92" s="414"/>
      <c r="BH92" s="414"/>
      <c r="BI92" s="414"/>
      <c r="BJ92" s="414"/>
      <c r="BK92" s="414"/>
      <c r="BL92" s="414"/>
      <c r="BM92" s="414"/>
      <c r="BN92" s="414"/>
      <c r="BO92" s="414"/>
      <c r="BP92" s="414"/>
      <c r="BQ92" s="414"/>
      <c r="BR92" s="414"/>
      <c r="BS92" s="414"/>
      <c r="BT92" s="414"/>
      <c r="BU92" s="414"/>
      <c r="BV92" s="414"/>
      <c r="BW92" s="436">
        <f t="shared" ref="BW92:CS92" si="107">IF(BW89=0," ",LARGE(BW32:BW62,1))</f>
        <v>9.9999999999999995E-7</v>
      </c>
      <c r="BX92" s="436" t="str">
        <f t="shared" si="107"/>
        <v xml:space="preserve"> </v>
      </c>
      <c r="BY92" s="436">
        <f t="shared" si="107"/>
        <v>9.9999999999999995E-7</v>
      </c>
      <c r="BZ92" s="436" t="str">
        <f t="shared" si="107"/>
        <v xml:space="preserve"> </v>
      </c>
      <c r="CA92" s="436">
        <f t="shared" si="107"/>
        <v>9.9999999999999995E-7</v>
      </c>
      <c r="CB92" s="436" t="str">
        <f t="shared" si="107"/>
        <v xml:space="preserve"> </v>
      </c>
      <c r="CC92" s="436">
        <f t="shared" si="107"/>
        <v>9.9999999999999995E-7</v>
      </c>
      <c r="CD92" s="436" t="str">
        <f t="shared" si="107"/>
        <v xml:space="preserve"> </v>
      </c>
      <c r="CE92" s="436">
        <f t="shared" si="107"/>
        <v>9.9999999999999995E-7</v>
      </c>
      <c r="CF92" s="436" t="str">
        <f t="shared" si="107"/>
        <v xml:space="preserve"> </v>
      </c>
      <c r="CG92" s="436">
        <f t="shared" si="107"/>
        <v>9.9999999999999995E-7</v>
      </c>
      <c r="CH92" s="436" t="str">
        <f t="shared" si="107"/>
        <v xml:space="preserve"> </v>
      </c>
      <c r="CI92" s="436">
        <f t="shared" si="107"/>
        <v>9.9999999999999995E-7</v>
      </c>
      <c r="CJ92" s="436" t="str">
        <f t="shared" si="107"/>
        <v xml:space="preserve"> </v>
      </c>
      <c r="CK92" s="436">
        <f t="shared" si="107"/>
        <v>9.9999999999999995E-7</v>
      </c>
      <c r="CL92" s="436" t="str">
        <f t="shared" si="107"/>
        <v xml:space="preserve"> </v>
      </c>
      <c r="CM92" s="436">
        <f t="shared" si="107"/>
        <v>9.9999999999999995E-7</v>
      </c>
      <c r="CN92" s="436" t="str">
        <f t="shared" si="107"/>
        <v xml:space="preserve"> </v>
      </c>
      <c r="CO92" s="436">
        <f t="shared" si="107"/>
        <v>9.9999999999999995E-7</v>
      </c>
      <c r="CP92" s="436" t="str">
        <f t="shared" si="107"/>
        <v xml:space="preserve"> </v>
      </c>
      <c r="CQ92" s="436">
        <f t="shared" si="107"/>
        <v>9.9999999999999995E-7</v>
      </c>
      <c r="CR92" s="436" t="str">
        <f t="shared" si="107"/>
        <v xml:space="preserve"> </v>
      </c>
      <c r="CS92" s="436">
        <f t="shared" si="107"/>
        <v>9.9999999999999995E-7</v>
      </c>
      <c r="CT92" s="436"/>
      <c r="CU92" s="414">
        <f>LARGE(BW92:CS92,1)</f>
        <v>9.9999999999999995E-7</v>
      </c>
      <c r="CV92" s="414"/>
      <c r="CW92" s="415"/>
      <c r="CX92" s="415"/>
      <c r="CY92" s="415"/>
      <c r="CZ92" s="415"/>
      <c r="DA92" s="415"/>
      <c r="DB92" s="415"/>
      <c r="DC92" s="415"/>
      <c r="DD92" s="415"/>
      <c r="DE92" s="415"/>
      <c r="DF92" s="415"/>
      <c r="DG92" s="415"/>
      <c r="DH92" s="415"/>
      <c r="DI92" s="415"/>
      <c r="DJ92" s="414"/>
      <c r="DK92" s="414"/>
      <c r="DL92" s="414"/>
      <c r="DM92" s="414"/>
      <c r="DN92" s="414"/>
      <c r="DO92" s="414"/>
      <c r="DP92" s="414"/>
      <c r="DQ92" s="414"/>
      <c r="DR92" s="414"/>
      <c r="DS92" s="414"/>
      <c r="DT92" s="414"/>
      <c r="DU92" s="414"/>
      <c r="DV92" s="415"/>
      <c r="DW92" s="415"/>
      <c r="DX92" s="415"/>
      <c r="DY92" s="415"/>
      <c r="DZ92" s="415"/>
      <c r="EA92" s="415"/>
      <c r="EB92" s="415"/>
      <c r="EC92" s="415"/>
      <c r="ED92" s="415"/>
      <c r="EE92" s="415"/>
      <c r="EF92" s="415"/>
      <c r="EG92" s="415"/>
      <c r="EH92" s="415"/>
      <c r="EI92" s="415"/>
      <c r="EJ92" s="415"/>
      <c r="EK92" s="414"/>
      <c r="EL92" s="436" t="str">
        <f t="shared" ref="EL92:FH92" si="108">IF(EL89=0," ",LARGE(EL32:EL62,1))</f>
        <v xml:space="preserve"> </v>
      </c>
      <c r="EM92" s="436" t="str">
        <f t="shared" si="108"/>
        <v xml:space="preserve"> </v>
      </c>
      <c r="EN92" s="436" t="str">
        <f t="shared" si="108"/>
        <v xml:space="preserve"> </v>
      </c>
      <c r="EO92" s="436" t="str">
        <f t="shared" si="108"/>
        <v xml:space="preserve"> </v>
      </c>
      <c r="EP92" s="436" t="str">
        <f t="shared" si="108"/>
        <v xml:space="preserve"> </v>
      </c>
      <c r="EQ92" s="436" t="str">
        <f t="shared" si="108"/>
        <v xml:space="preserve"> </v>
      </c>
      <c r="ER92" s="436" t="str">
        <f t="shared" si="108"/>
        <v xml:space="preserve"> </v>
      </c>
      <c r="ES92" s="436" t="str">
        <f t="shared" si="108"/>
        <v xml:space="preserve"> </v>
      </c>
      <c r="ET92" s="436" t="str">
        <f t="shared" si="108"/>
        <v xml:space="preserve"> </v>
      </c>
      <c r="EU92" s="436" t="str">
        <f t="shared" si="108"/>
        <v xml:space="preserve"> </v>
      </c>
      <c r="EV92" s="436" t="str">
        <f t="shared" si="108"/>
        <v xml:space="preserve"> </v>
      </c>
      <c r="EW92" s="436" t="str">
        <f t="shared" si="108"/>
        <v xml:space="preserve"> </v>
      </c>
      <c r="EX92" s="436" t="str">
        <f t="shared" si="108"/>
        <v xml:space="preserve"> </v>
      </c>
      <c r="EY92" s="436" t="str">
        <f t="shared" si="108"/>
        <v xml:space="preserve"> </v>
      </c>
      <c r="EZ92" s="436" t="str">
        <f t="shared" si="108"/>
        <v xml:space="preserve"> </v>
      </c>
      <c r="FA92" s="436" t="str">
        <f t="shared" si="108"/>
        <v xml:space="preserve"> </v>
      </c>
      <c r="FB92" s="436" t="str">
        <f t="shared" si="108"/>
        <v xml:space="preserve"> </v>
      </c>
      <c r="FC92" s="436" t="str">
        <f t="shared" si="108"/>
        <v xml:space="preserve"> </v>
      </c>
      <c r="FD92" s="436" t="str">
        <f t="shared" si="108"/>
        <v xml:space="preserve"> </v>
      </c>
      <c r="FE92" s="436" t="str">
        <f t="shared" si="108"/>
        <v xml:space="preserve"> </v>
      </c>
      <c r="FF92" s="436" t="str">
        <f t="shared" si="108"/>
        <v xml:space="preserve"> </v>
      </c>
      <c r="FG92" s="436" t="str">
        <f t="shared" si="108"/>
        <v xml:space="preserve"> </v>
      </c>
      <c r="FH92" s="436" t="str">
        <f t="shared" si="108"/>
        <v xml:space="preserve"> </v>
      </c>
      <c r="FI92" s="422" t="s">
        <v>37</v>
      </c>
      <c r="FJ92" s="436" t="str">
        <f>IFERROR(LARGE(EL92:FH92,1),"")</f>
        <v/>
      </c>
      <c r="FK92" s="415"/>
      <c r="FL92" s="387"/>
      <c r="FM92" s="387"/>
      <c r="FN92" s="387"/>
      <c r="FO92" s="387"/>
      <c r="FP92" s="387"/>
      <c r="FQ92" s="387"/>
      <c r="FR92" s="387"/>
      <c r="FS92" s="387"/>
      <c r="FT92" s="387"/>
      <c r="FU92" s="387"/>
      <c r="FV92" s="387"/>
      <c r="FW92" s="387"/>
      <c r="FX92" s="387"/>
      <c r="FY92" s="387"/>
      <c r="FZ92" s="387"/>
      <c r="GA92" s="387"/>
      <c r="GB92" s="387"/>
      <c r="GC92" s="387"/>
      <c r="GD92" s="387"/>
      <c r="GE92" s="387"/>
      <c r="GF92" s="387"/>
      <c r="GG92" s="387"/>
      <c r="GH92" s="387"/>
      <c r="GI92" s="387"/>
      <c r="GJ92" s="387"/>
      <c r="GK92" s="387"/>
      <c r="GL92" s="387"/>
      <c r="GM92" s="387"/>
      <c r="GN92" s="387"/>
      <c r="GO92" s="387"/>
      <c r="GP92" s="387"/>
      <c r="GQ92" s="387"/>
      <c r="GR92" s="387"/>
      <c r="GS92" s="387"/>
      <c r="GT92" s="387"/>
      <c r="GU92" s="387"/>
      <c r="GV92" s="387"/>
      <c r="GW92" s="387"/>
      <c r="GX92" s="387"/>
      <c r="GY92" s="387"/>
      <c r="GZ92" s="387"/>
      <c r="HA92" s="387"/>
      <c r="HB92" s="387"/>
      <c r="HC92" s="387"/>
      <c r="HD92" s="387"/>
      <c r="HE92" s="387"/>
      <c r="HF92" s="387"/>
      <c r="HG92" s="387"/>
      <c r="HH92" s="387"/>
      <c r="HI92" s="387"/>
      <c r="HJ92" s="387"/>
      <c r="HK92" s="387"/>
      <c r="HL92" s="387"/>
      <c r="HM92" s="387"/>
      <c r="HN92" s="387"/>
      <c r="HO92" s="387"/>
      <c r="HP92" s="387"/>
      <c r="HQ92" s="387"/>
      <c r="HR92" s="387"/>
      <c r="HS92" s="387"/>
      <c r="HT92" s="387"/>
      <c r="HU92" s="387"/>
      <c r="HV92" s="387"/>
      <c r="HW92" s="387"/>
      <c r="HX92" s="387"/>
      <c r="HY92" s="387"/>
      <c r="HZ92" s="387"/>
      <c r="IA92" s="387"/>
      <c r="IB92" s="387"/>
      <c r="IC92" s="387"/>
      <c r="ID92" s="387"/>
      <c r="IE92" s="327"/>
      <c r="IF92" s="327"/>
      <c r="IG92" s="327"/>
      <c r="IH92" s="327"/>
      <c r="II92" s="327"/>
      <c r="IJ92" s="327"/>
      <c r="IK92" s="327"/>
      <c r="IL92" s="327"/>
      <c r="IM92" s="327"/>
      <c r="IN92" s="327"/>
    </row>
    <row r="93" spans="1:248" s="321" customFormat="1" ht="21" customHeight="1" x14ac:dyDescent="0.25">
      <c r="A93" s="449"/>
      <c r="B93" s="462" t="s">
        <v>64</v>
      </c>
      <c r="C93" s="466"/>
      <c r="D93" s="466"/>
      <c r="E93" s="464">
        <f>SUMIF(D32:D62,"&lt;=2",E32:E62)</f>
        <v>0</v>
      </c>
      <c r="F93" s="464"/>
      <c r="G93" s="464">
        <f>SUMIF(F32:F62,"&lt;=2",G32:G62)</f>
        <v>0</v>
      </c>
      <c r="H93" s="464"/>
      <c r="I93" s="464">
        <f>SUMIF(H32:H62,"&lt;=2",I32:I62)</f>
        <v>0</v>
      </c>
      <c r="J93" s="464"/>
      <c r="K93" s="464">
        <f>SUMIF(J32:J62,"&lt;=2",K32:K62)</f>
        <v>0</v>
      </c>
      <c r="L93" s="464"/>
      <c r="M93" s="464">
        <f>SUMIF(L$32:L$62,"&lt;=2",M$32:M$62)</f>
        <v>0</v>
      </c>
      <c r="N93" s="464"/>
      <c r="O93" s="464">
        <f>SUMIF(N32:N62,"&lt;=2",O32:O62)</f>
        <v>0</v>
      </c>
      <c r="P93" s="464"/>
      <c r="Q93" s="464">
        <f>SUMIF(P32:P62,"&lt;=2",Q32:Q62)</f>
        <v>0</v>
      </c>
      <c r="R93" s="464"/>
      <c r="S93" s="464">
        <f>SUMIF(R32:R62,"&lt;=2",S32:S62)</f>
        <v>0</v>
      </c>
      <c r="T93" s="464"/>
      <c r="U93" s="464">
        <f>SUMIF(T32:T62,"&lt;=2",U32:U62)</f>
        <v>0</v>
      </c>
      <c r="V93" s="464"/>
      <c r="W93" s="464">
        <f>SUMIF(V32:V62,"&lt;=2",W32:W62)</f>
        <v>0</v>
      </c>
      <c r="X93" s="464"/>
      <c r="Y93" s="464">
        <f>SUMIF(X32:X62,"&lt;=2",Y32:Y62)</f>
        <v>0</v>
      </c>
      <c r="Z93" s="464"/>
      <c r="AA93" s="464">
        <f>SUMIF(Z32:Z62,"&lt;=2",AA32:AA62)</f>
        <v>0</v>
      </c>
      <c r="AB93" s="469">
        <f>SUM(E93:AA93)</f>
        <v>0</v>
      </c>
      <c r="AC93" s="405"/>
      <c r="AD93" s="385"/>
      <c r="AE93" s="443"/>
      <c r="AF93" s="436"/>
      <c r="AG93" s="436"/>
      <c r="AH93" s="436"/>
      <c r="AI93" s="436"/>
      <c r="AJ93" s="436"/>
      <c r="AK93" s="436"/>
      <c r="AL93" s="436"/>
      <c r="AM93" s="436"/>
      <c r="AN93" s="436"/>
      <c r="AO93" s="436"/>
      <c r="AP93" s="436"/>
      <c r="AQ93" s="436"/>
      <c r="AR93" s="436"/>
      <c r="AS93" s="436"/>
      <c r="AT93" s="414"/>
      <c r="AU93" s="414"/>
      <c r="AV93" s="414"/>
      <c r="AW93" s="414"/>
      <c r="AX93" s="414"/>
      <c r="AY93" s="414"/>
      <c r="AZ93" s="414"/>
      <c r="BA93" s="414"/>
      <c r="BB93" s="414"/>
      <c r="BC93" s="414"/>
      <c r="BD93" s="414"/>
      <c r="BE93" s="414"/>
      <c r="BF93" s="414"/>
      <c r="BG93" s="414"/>
      <c r="BH93" s="414"/>
      <c r="BI93" s="414"/>
      <c r="BJ93" s="414"/>
      <c r="BK93" s="414"/>
      <c r="BL93" s="414"/>
      <c r="BM93" s="414"/>
      <c r="BN93" s="414"/>
      <c r="BO93" s="414"/>
      <c r="BP93" s="414"/>
      <c r="BQ93" s="414"/>
      <c r="BR93" s="437">
        <f>SUM(AV88:BR88)</f>
        <v>0</v>
      </c>
      <c r="BS93" s="414"/>
      <c r="BT93" s="414"/>
      <c r="BU93" s="414"/>
      <c r="BV93" s="414"/>
      <c r="BW93" s="436"/>
      <c r="BX93" s="436"/>
      <c r="BY93" s="436"/>
      <c r="BZ93" s="436"/>
      <c r="CA93" s="436"/>
      <c r="CB93" s="436"/>
      <c r="CC93" s="436"/>
      <c r="CD93" s="436"/>
      <c r="CE93" s="436"/>
      <c r="CF93" s="436"/>
      <c r="CG93" s="436"/>
      <c r="CH93" s="436"/>
      <c r="CI93" s="436"/>
      <c r="CJ93" s="436"/>
      <c r="CK93" s="436"/>
      <c r="CL93" s="436"/>
      <c r="CM93" s="436"/>
      <c r="CN93" s="436"/>
      <c r="CO93" s="436"/>
      <c r="CP93" s="436"/>
      <c r="CQ93" s="436"/>
      <c r="CR93" s="436"/>
      <c r="CS93" s="446"/>
      <c r="CT93" s="436"/>
      <c r="CU93" s="414"/>
      <c r="CV93" s="414"/>
      <c r="CW93" s="415"/>
      <c r="CX93" s="415"/>
      <c r="CY93" s="415"/>
      <c r="CZ93" s="415"/>
      <c r="DA93" s="415"/>
      <c r="DB93" s="415"/>
      <c r="DC93" s="415"/>
      <c r="DD93" s="415"/>
      <c r="DE93" s="415"/>
      <c r="DF93" s="415"/>
      <c r="DG93" s="415"/>
      <c r="DH93" s="415"/>
      <c r="DI93" s="415"/>
      <c r="DJ93" s="414"/>
      <c r="DK93" s="414"/>
      <c r="DL93" s="414"/>
      <c r="DM93" s="414"/>
      <c r="DN93" s="414"/>
      <c r="DO93" s="414"/>
      <c r="DP93" s="414"/>
      <c r="DQ93" s="414"/>
      <c r="DR93" s="414"/>
      <c r="DS93" s="414"/>
      <c r="DT93" s="414"/>
      <c r="DU93" s="414"/>
      <c r="DV93" s="415"/>
      <c r="DW93" s="415"/>
      <c r="DX93" s="415"/>
      <c r="DY93" s="415"/>
      <c r="DZ93" s="415"/>
      <c r="EA93" s="415"/>
      <c r="EB93" s="415"/>
      <c r="EC93" s="415"/>
      <c r="ED93" s="415"/>
      <c r="EE93" s="415"/>
      <c r="EF93" s="415"/>
      <c r="EG93" s="415"/>
      <c r="EH93" s="415"/>
      <c r="EI93" s="415"/>
      <c r="EJ93" s="422" t="s">
        <v>107</v>
      </c>
      <c r="EK93" s="414"/>
      <c r="EL93" s="436" t="str">
        <f>IF(EL89=0," ",AVERAGE(EL32:EL62))</f>
        <v xml:space="preserve"> </v>
      </c>
      <c r="EM93" s="414"/>
      <c r="EN93" s="436" t="str">
        <f>IF(EN89=0," ",AVERAGE(EN32:EN62))</f>
        <v xml:space="preserve"> </v>
      </c>
      <c r="EO93" s="414"/>
      <c r="EP93" s="436" t="str">
        <f>IF(EP89=0," ",AVERAGE(EP32:EP62))</f>
        <v xml:space="preserve"> </v>
      </c>
      <c r="EQ93" s="414"/>
      <c r="ER93" s="436" t="str">
        <f>IF(ER89=0," ",AVERAGE(ER32:ER62))</f>
        <v xml:space="preserve"> </v>
      </c>
      <c r="ES93" s="414"/>
      <c r="ET93" s="436" t="str">
        <f>IF(ET89=0," ",AVERAGE(ET32:ET62))</f>
        <v xml:space="preserve"> </v>
      </c>
      <c r="EU93" s="414"/>
      <c r="EV93" s="436" t="str">
        <f>IF(EV89=0," ",AVERAGE(EV32:EV62))</f>
        <v xml:space="preserve"> </v>
      </c>
      <c r="EW93" s="414"/>
      <c r="EX93" s="436" t="str">
        <f>IF(EX89=0," ",AVERAGE(EX32:EX62))</f>
        <v xml:space="preserve"> </v>
      </c>
      <c r="EY93" s="414"/>
      <c r="EZ93" s="436" t="str">
        <f>IF(EZ89=0," ",AVERAGE(EZ32:EZ62))</f>
        <v xml:space="preserve"> </v>
      </c>
      <c r="FA93" s="414"/>
      <c r="FB93" s="436" t="str">
        <f>IF(FB89=0," ",AVERAGE(FB32:FB62))</f>
        <v xml:space="preserve"> </v>
      </c>
      <c r="FC93" s="414"/>
      <c r="FD93" s="436" t="str">
        <f>IF(FD89=0," ",AVERAGE(FD32:FD62))</f>
        <v xml:space="preserve"> </v>
      </c>
      <c r="FE93" s="414"/>
      <c r="FF93" s="436" t="str">
        <f>IF(FF89=0," ",AVERAGE(FF32:FF62))</f>
        <v xml:space="preserve"> </v>
      </c>
      <c r="FG93" s="414"/>
      <c r="FH93" s="436" t="str">
        <f>IF(FH89=0," ",AVERAGE(FH32:FH62))</f>
        <v xml:space="preserve"> </v>
      </c>
      <c r="FI93" s="415"/>
      <c r="FJ93" s="415"/>
      <c r="FK93" s="415"/>
      <c r="FL93" s="387"/>
      <c r="FM93" s="387"/>
      <c r="FN93" s="387"/>
      <c r="FO93" s="387"/>
      <c r="FP93" s="387"/>
      <c r="FQ93" s="387"/>
      <c r="FR93" s="387"/>
      <c r="FS93" s="387"/>
      <c r="FT93" s="387"/>
      <c r="FU93" s="387"/>
      <c r="FV93" s="387"/>
      <c r="FW93" s="387"/>
      <c r="FX93" s="387"/>
      <c r="FY93" s="387"/>
      <c r="FZ93" s="387"/>
      <c r="GA93" s="387"/>
      <c r="GB93" s="387"/>
      <c r="GC93" s="387"/>
      <c r="GD93" s="387"/>
      <c r="GE93" s="387"/>
      <c r="GF93" s="387"/>
      <c r="GG93" s="387"/>
      <c r="GH93" s="387"/>
      <c r="GI93" s="387"/>
      <c r="GJ93" s="387"/>
      <c r="GK93" s="387"/>
      <c r="GL93" s="387"/>
      <c r="GM93" s="387"/>
      <c r="GN93" s="387"/>
      <c r="GO93" s="387"/>
      <c r="GP93" s="387"/>
      <c r="GQ93" s="387"/>
      <c r="GR93" s="387"/>
      <c r="GS93" s="387"/>
      <c r="GT93" s="387"/>
      <c r="GU93" s="387"/>
      <c r="GV93" s="387"/>
      <c r="GW93" s="387"/>
      <c r="GX93" s="387"/>
      <c r="GY93" s="387"/>
      <c r="GZ93" s="387"/>
      <c r="HA93" s="387"/>
      <c r="HB93" s="387"/>
      <c r="HC93" s="387"/>
      <c r="HD93" s="387"/>
      <c r="HE93" s="387"/>
      <c r="HF93" s="387"/>
      <c r="HG93" s="387"/>
      <c r="HH93" s="387"/>
      <c r="HI93" s="387"/>
      <c r="HJ93" s="387"/>
      <c r="HK93" s="387"/>
      <c r="HL93" s="387"/>
      <c r="HM93" s="387"/>
      <c r="HN93" s="387"/>
      <c r="HO93" s="387"/>
      <c r="HP93" s="387"/>
      <c r="HQ93" s="387"/>
      <c r="HR93" s="387"/>
      <c r="HS93" s="387"/>
      <c r="HT93" s="387"/>
      <c r="HU93" s="387"/>
      <c r="HV93" s="387"/>
      <c r="HW93" s="387"/>
      <c r="HX93" s="387"/>
      <c r="HY93" s="387"/>
      <c r="HZ93" s="387"/>
      <c r="IA93" s="387"/>
      <c r="IB93" s="387"/>
      <c r="IC93" s="387"/>
      <c r="ID93" s="387"/>
      <c r="IE93" s="327"/>
      <c r="IF93" s="327"/>
      <c r="IG93" s="327"/>
      <c r="IH93" s="327"/>
      <c r="II93" s="327"/>
      <c r="IJ93" s="327"/>
      <c r="IK93" s="327"/>
      <c r="IL93" s="327"/>
      <c r="IM93" s="327"/>
      <c r="IN93" s="327"/>
    </row>
    <row r="94" spans="1:248" s="321" customFormat="1" ht="21" customHeight="1" x14ac:dyDescent="0.2">
      <c r="A94" s="449"/>
      <c r="B94" s="462" t="s">
        <v>256</v>
      </c>
      <c r="C94" s="466"/>
      <c r="D94" s="466"/>
      <c r="E94" s="464">
        <f>IF(E64=0,0,E93/E64*E84)</f>
        <v>0</v>
      </c>
      <c r="F94" s="464"/>
      <c r="G94" s="464">
        <f>IF(G64=0,0,G93/G64*G84)</f>
        <v>0</v>
      </c>
      <c r="H94" s="464"/>
      <c r="I94" s="464">
        <f>IF(I64=0,0,I93/I64*I84)</f>
        <v>0</v>
      </c>
      <c r="J94" s="464"/>
      <c r="K94" s="464">
        <f>IF(K64=0,0,K93/K64*K84)</f>
        <v>0</v>
      </c>
      <c r="L94" s="464"/>
      <c r="M94" s="464">
        <f>IF(M64=0,0,M93/M64*M$84)</f>
        <v>0</v>
      </c>
      <c r="N94" s="464"/>
      <c r="O94" s="464">
        <f>IF(O64=0,0,O93/O64*O84)</f>
        <v>0</v>
      </c>
      <c r="P94" s="464"/>
      <c r="Q94" s="464">
        <f>IF(Q64=0,0,Q93/Q64*Q84)</f>
        <v>0</v>
      </c>
      <c r="R94" s="464"/>
      <c r="S94" s="464">
        <f>IF(S64=0,0,S93/S64*S84)</f>
        <v>0</v>
      </c>
      <c r="T94" s="464"/>
      <c r="U94" s="464">
        <f>IF(U64=0,0,U93/U64*U84)</f>
        <v>0</v>
      </c>
      <c r="V94" s="464"/>
      <c r="W94" s="464">
        <f>IF(W64=0,0,W93/W64*W84)</f>
        <v>0</v>
      </c>
      <c r="X94" s="464"/>
      <c r="Y94" s="464">
        <f>IF(Y64=0,0,Y93/Y64*Y84)</f>
        <v>0</v>
      </c>
      <c r="Z94" s="464"/>
      <c r="AA94" s="464">
        <f>IF(AA64=0,0,AA93/AA64*AA84)</f>
        <v>0</v>
      </c>
      <c r="AB94" s="470">
        <f>SUM(E94:AA94)</f>
        <v>0</v>
      </c>
      <c r="AC94" s="405"/>
      <c r="AD94" s="385"/>
      <c r="AE94" s="443"/>
      <c r="AF94" s="436"/>
      <c r="AG94" s="436"/>
      <c r="AH94" s="436"/>
      <c r="AI94" s="436"/>
      <c r="AJ94" s="436"/>
      <c r="AK94" s="436"/>
      <c r="AL94" s="436"/>
      <c r="AM94" s="436"/>
      <c r="AN94" s="436"/>
      <c r="AO94" s="436"/>
      <c r="AP94" s="436"/>
      <c r="AQ94" s="436"/>
      <c r="AR94" s="436"/>
      <c r="AS94" s="436"/>
      <c r="AT94" s="414"/>
      <c r="AU94" s="414"/>
      <c r="AV94" s="414"/>
      <c r="AW94" s="414"/>
      <c r="AX94" s="414"/>
      <c r="AY94" s="414"/>
      <c r="AZ94" s="414"/>
      <c r="BA94" s="414"/>
      <c r="BB94" s="414"/>
      <c r="BC94" s="414"/>
      <c r="BD94" s="414"/>
      <c r="BE94" s="414"/>
      <c r="BF94" s="414"/>
      <c r="BG94" s="414"/>
      <c r="BH94" s="414"/>
      <c r="BI94" s="414"/>
      <c r="BJ94" s="414"/>
      <c r="BK94" s="414"/>
      <c r="BL94" s="414"/>
      <c r="BM94" s="414"/>
      <c r="BN94" s="414"/>
      <c r="BO94" s="414"/>
      <c r="BP94" s="414"/>
      <c r="BQ94" s="414"/>
      <c r="BR94" s="437">
        <f>SUM(AV89:BR89)</f>
        <v>0</v>
      </c>
      <c r="BS94" s="414"/>
      <c r="BT94" s="414"/>
      <c r="BU94" s="414"/>
      <c r="BV94" s="414"/>
      <c r="BW94" s="436">
        <f>COUNTIF(BV32:BV62,"&lt;=2")</f>
        <v>0</v>
      </c>
      <c r="BX94" s="436"/>
      <c r="BY94" s="436">
        <f>COUNTIF(BX32:BX62,"&lt;=2")</f>
        <v>0</v>
      </c>
      <c r="BZ94" s="436"/>
      <c r="CA94" s="436">
        <f>COUNTIF(BZ32:BZ62,"&lt;=2")</f>
        <v>0</v>
      </c>
      <c r="CB94" s="436"/>
      <c r="CC94" s="436">
        <f>COUNTIF(CB32:CB62,"&lt;=2")</f>
        <v>0</v>
      </c>
      <c r="CD94" s="436"/>
      <c r="CE94" s="436">
        <f>COUNTIF(CD32:CD62,"&lt;=2")</f>
        <v>0</v>
      </c>
      <c r="CF94" s="436"/>
      <c r="CG94" s="436">
        <f>COUNTIF(CF32:CF62,"&lt;=2")</f>
        <v>0</v>
      </c>
      <c r="CH94" s="436"/>
      <c r="CI94" s="436">
        <f>COUNTIF(CH32:CH62,"&lt;=2")</f>
        <v>0</v>
      </c>
      <c r="CJ94" s="436"/>
      <c r="CK94" s="436">
        <f>COUNTIF(CJ32:CJ62,"&lt;=2")</f>
        <v>0</v>
      </c>
      <c r="CL94" s="436"/>
      <c r="CM94" s="436">
        <f>COUNTIF(CL32:CL62,"&lt;=2")</f>
        <v>0</v>
      </c>
      <c r="CN94" s="436"/>
      <c r="CO94" s="436">
        <f>COUNTIF(CN32:CN62,"&lt;=2")</f>
        <v>0</v>
      </c>
      <c r="CP94" s="436"/>
      <c r="CQ94" s="436">
        <f>COUNTIF(CP32:CP62,"&lt;=2")</f>
        <v>0</v>
      </c>
      <c r="CR94" s="436"/>
      <c r="CS94" s="436">
        <f>COUNTIF(CR32:CR62,"&lt;=2")</f>
        <v>0</v>
      </c>
      <c r="CT94" s="436"/>
      <c r="CU94" s="444">
        <f>SUM(BW94:CS94)</f>
        <v>0</v>
      </c>
      <c r="CV94" s="444"/>
      <c r="CW94" s="415"/>
      <c r="CX94" s="415"/>
      <c r="CY94" s="415"/>
      <c r="CZ94" s="415"/>
      <c r="DA94" s="415"/>
      <c r="DB94" s="415"/>
      <c r="DC94" s="415"/>
      <c r="DD94" s="415"/>
      <c r="DE94" s="415"/>
      <c r="DF94" s="415"/>
      <c r="DG94" s="415"/>
      <c r="DH94" s="415"/>
      <c r="DI94" s="415"/>
      <c r="DJ94" s="414"/>
      <c r="DK94" s="414"/>
      <c r="DL94" s="414"/>
      <c r="DM94" s="414"/>
      <c r="DN94" s="414"/>
      <c r="DO94" s="414"/>
      <c r="DP94" s="414"/>
      <c r="DQ94" s="414"/>
      <c r="DR94" s="414"/>
      <c r="DS94" s="414"/>
      <c r="DT94" s="414"/>
      <c r="DU94" s="414"/>
      <c r="DV94" s="415"/>
      <c r="DW94" s="415"/>
      <c r="DX94" s="415"/>
      <c r="DY94" s="415"/>
      <c r="DZ94" s="415"/>
      <c r="EA94" s="415"/>
      <c r="EB94" s="415"/>
      <c r="EC94" s="415"/>
      <c r="ED94" s="415"/>
      <c r="EE94" s="415"/>
      <c r="EF94" s="415"/>
      <c r="EG94" s="415"/>
      <c r="EH94" s="415"/>
      <c r="EI94" s="415"/>
      <c r="EJ94" s="415"/>
      <c r="EK94" s="414"/>
      <c r="EL94" s="436">
        <f>COUNTIF(EK32:EK62,"&lt;=2")</f>
        <v>0</v>
      </c>
      <c r="EM94" s="436"/>
      <c r="EN94" s="436">
        <f>COUNTIF(EM32:EM62,"&lt;=2")</f>
        <v>0</v>
      </c>
      <c r="EO94" s="436"/>
      <c r="EP94" s="436">
        <f>COUNTIF(EO32:EO62,"&lt;=2")</f>
        <v>0</v>
      </c>
      <c r="EQ94" s="436"/>
      <c r="ER94" s="436">
        <f>COUNTIF(EQ32:EQ62,"&lt;=2")</f>
        <v>0</v>
      </c>
      <c r="ES94" s="436"/>
      <c r="ET94" s="436">
        <f>COUNTIF(ES32:ES62,"&lt;=2")</f>
        <v>0</v>
      </c>
      <c r="EU94" s="436"/>
      <c r="EV94" s="436">
        <f>COUNTIF(EU32:EU62,"&lt;=2")</f>
        <v>0</v>
      </c>
      <c r="EW94" s="436"/>
      <c r="EX94" s="436">
        <f>COUNTIF(EW32:EW62,"&lt;=2")</f>
        <v>0</v>
      </c>
      <c r="EY94" s="436"/>
      <c r="EZ94" s="436">
        <f>COUNTIF(EY32:EY62,"&lt;=2")</f>
        <v>0</v>
      </c>
      <c r="FA94" s="436"/>
      <c r="FB94" s="436">
        <f>COUNTIF(FA32:FA62,"&lt;=2")</f>
        <v>0</v>
      </c>
      <c r="FC94" s="436"/>
      <c r="FD94" s="436">
        <f>COUNTIF(FC32:FC62,"&lt;=2")</f>
        <v>0</v>
      </c>
      <c r="FE94" s="436"/>
      <c r="FF94" s="436">
        <f>COUNTIF(FE32:FE62,"&lt;=2")</f>
        <v>0</v>
      </c>
      <c r="FG94" s="436"/>
      <c r="FH94" s="436">
        <f>COUNTIF(FG32:FG62,"&lt;=2")</f>
        <v>0</v>
      </c>
      <c r="FI94" s="415"/>
      <c r="FJ94" s="415"/>
      <c r="FK94" s="415"/>
      <c r="FL94" s="387"/>
      <c r="FM94" s="387"/>
      <c r="FN94" s="387"/>
      <c r="FO94" s="387"/>
      <c r="FP94" s="387"/>
      <c r="FQ94" s="387"/>
      <c r="FR94" s="387"/>
      <c r="FS94" s="387"/>
      <c r="FT94" s="387"/>
      <c r="FU94" s="387"/>
      <c r="FV94" s="387"/>
      <c r="FW94" s="387"/>
      <c r="FX94" s="387"/>
      <c r="FY94" s="387"/>
      <c r="FZ94" s="387"/>
      <c r="GA94" s="387"/>
      <c r="GB94" s="387"/>
      <c r="GC94" s="387"/>
      <c r="GD94" s="387"/>
      <c r="GE94" s="387"/>
      <c r="GF94" s="387"/>
      <c r="GG94" s="387"/>
      <c r="GH94" s="387"/>
      <c r="GI94" s="387"/>
      <c r="GJ94" s="387"/>
      <c r="GK94" s="387"/>
      <c r="GL94" s="387"/>
      <c r="GM94" s="387"/>
      <c r="GN94" s="387"/>
      <c r="GO94" s="387"/>
      <c r="GP94" s="387"/>
      <c r="GQ94" s="387"/>
      <c r="GR94" s="387"/>
      <c r="GS94" s="387"/>
      <c r="GT94" s="387"/>
      <c r="GU94" s="387"/>
      <c r="GV94" s="387"/>
      <c r="GW94" s="387"/>
      <c r="GX94" s="387"/>
      <c r="GY94" s="387"/>
      <c r="GZ94" s="387"/>
      <c r="HA94" s="387"/>
      <c r="HB94" s="387"/>
      <c r="HC94" s="387"/>
      <c r="HD94" s="387"/>
      <c r="HE94" s="387"/>
      <c r="HF94" s="387"/>
      <c r="HG94" s="387"/>
      <c r="HH94" s="387"/>
      <c r="HI94" s="387"/>
      <c r="HJ94" s="387"/>
      <c r="HK94" s="387"/>
      <c r="HL94" s="387"/>
      <c r="HM94" s="387"/>
      <c r="HN94" s="387"/>
      <c r="HO94" s="387"/>
      <c r="HP94" s="387"/>
      <c r="HQ94" s="387"/>
      <c r="HR94" s="387"/>
      <c r="HS94" s="387"/>
      <c r="HT94" s="387"/>
      <c r="HU94" s="387"/>
      <c r="HV94" s="387"/>
      <c r="HW94" s="387"/>
      <c r="HX94" s="387"/>
      <c r="HY94" s="387"/>
      <c r="HZ94" s="387"/>
      <c r="IA94" s="387"/>
      <c r="IB94" s="387"/>
      <c r="IC94" s="387"/>
      <c r="ID94" s="387"/>
      <c r="IE94" s="327"/>
      <c r="IF94" s="327"/>
      <c r="IG94" s="327"/>
      <c r="IH94" s="327"/>
      <c r="II94" s="327"/>
      <c r="IJ94" s="327"/>
      <c r="IK94" s="327"/>
      <c r="IL94" s="327"/>
      <c r="IM94" s="327"/>
      <c r="IN94" s="327"/>
    </row>
    <row r="95" spans="1:248" s="321" customFormat="1" ht="21" customHeight="1" x14ac:dyDescent="0.2">
      <c r="A95" s="449"/>
      <c r="B95" s="462" t="s">
        <v>257</v>
      </c>
      <c r="C95" s="466"/>
      <c r="D95" s="466"/>
      <c r="E95" s="464">
        <f>IF(E64=0,0,E93/E64)</f>
        <v>0</v>
      </c>
      <c r="F95" s="464"/>
      <c r="G95" s="464">
        <f>IF(G64=0,0,G93/G64)</f>
        <v>0</v>
      </c>
      <c r="H95" s="464"/>
      <c r="I95" s="464">
        <f>IF(I64=0,0,I93/I64)</f>
        <v>0</v>
      </c>
      <c r="J95" s="464"/>
      <c r="K95" s="464">
        <f>IF(K64=0,0,K93/K64)</f>
        <v>0</v>
      </c>
      <c r="L95" s="464"/>
      <c r="M95" s="464">
        <f>IF(M64=0,0,M93/M64)</f>
        <v>0</v>
      </c>
      <c r="N95" s="464"/>
      <c r="O95" s="464">
        <f>IF(O64=0,0,O93/O64)</f>
        <v>0</v>
      </c>
      <c r="P95" s="464"/>
      <c r="Q95" s="464">
        <f>IF(Q64=0,0,Q93/Q64)</f>
        <v>0</v>
      </c>
      <c r="R95" s="464"/>
      <c r="S95" s="464">
        <f>IF(S64=0,0,S93/S64)</f>
        <v>0</v>
      </c>
      <c r="T95" s="464"/>
      <c r="U95" s="464">
        <f>IF(U64=0,0,U93/U64)</f>
        <v>0</v>
      </c>
      <c r="V95" s="464"/>
      <c r="W95" s="464">
        <f>IF(W64=0,0,W93/W64)</f>
        <v>0</v>
      </c>
      <c r="X95" s="464"/>
      <c r="Y95" s="464">
        <f>IF(Y64=0,0,Y93/Y64)</f>
        <v>0</v>
      </c>
      <c r="Z95" s="464"/>
      <c r="AA95" s="464">
        <f>IF(AA64=0,0,AA93/AA64)</f>
        <v>0</v>
      </c>
      <c r="AB95" s="470" t="s">
        <v>111</v>
      </c>
      <c r="AC95" s="383"/>
      <c r="AD95" s="385"/>
      <c r="AE95" s="443"/>
      <c r="AF95" s="436"/>
      <c r="AG95" s="436"/>
      <c r="AH95" s="436"/>
      <c r="AI95" s="436"/>
      <c r="AJ95" s="436"/>
      <c r="AK95" s="436"/>
      <c r="AL95" s="436"/>
      <c r="AM95" s="436"/>
      <c r="AN95" s="436"/>
      <c r="AO95" s="436"/>
      <c r="AP95" s="436"/>
      <c r="AQ95" s="436"/>
      <c r="AR95" s="436"/>
      <c r="AS95" s="436"/>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t="s">
        <v>107</v>
      </c>
      <c r="BQ95" s="414"/>
      <c r="BR95" s="437" t="str">
        <f>IFERROR(AVERAGE(AV32:AV62,AX32:AX62,AZ32:AZ62,BB32:BB62,BD32:BD62,BF32:BF62,BH32:BH62,BJ32:BJ62,BL32:BL62,BN32:BN62,BP32:BP62,BR32:BR62),"")</f>
        <v/>
      </c>
      <c r="BS95" s="414"/>
      <c r="BT95" s="414"/>
      <c r="BU95" s="414"/>
      <c r="BV95" s="414"/>
      <c r="BW95" s="436">
        <f>IF(BW94=0,0,BW76/BW94*BW89)</f>
        <v>0</v>
      </c>
      <c r="BX95" s="436"/>
      <c r="BY95" s="436">
        <f>IF(BY94=0,0,BY76/BY94*BY89)</f>
        <v>0</v>
      </c>
      <c r="BZ95" s="436"/>
      <c r="CA95" s="436">
        <f>IF(CA94=0,0,CA76/CA94*CA89)</f>
        <v>0</v>
      </c>
      <c r="CB95" s="436"/>
      <c r="CC95" s="436">
        <f>IF(CC94=0,0,CC76/CC94*CC89)</f>
        <v>0</v>
      </c>
      <c r="CD95" s="436"/>
      <c r="CE95" s="436">
        <f>IF(CE94=0,0,CE76/CE94*CE$89)</f>
        <v>0</v>
      </c>
      <c r="CF95" s="436"/>
      <c r="CG95" s="436">
        <f>IF(CG94=0,0,CG76/CG94*CG89)</f>
        <v>0</v>
      </c>
      <c r="CH95" s="436"/>
      <c r="CI95" s="436">
        <f>IF(CI94=0,0,CI76/CI94*CI89)</f>
        <v>0</v>
      </c>
      <c r="CJ95" s="436"/>
      <c r="CK95" s="436">
        <f>IF(CK94=0,0,CK76/CK94*CK89)</f>
        <v>0</v>
      </c>
      <c r="CL95" s="436"/>
      <c r="CM95" s="436">
        <f>IF(CM94=0,0,CM76/CM94*CM89)</f>
        <v>0</v>
      </c>
      <c r="CN95" s="436"/>
      <c r="CO95" s="436">
        <f>IF(CO94=0,0,CO76/CO94*CO89)</f>
        <v>0</v>
      </c>
      <c r="CP95" s="436"/>
      <c r="CQ95" s="436">
        <f>IF(CQ94=0,0,CQ76/CQ94*CQ89)</f>
        <v>0</v>
      </c>
      <c r="CR95" s="436"/>
      <c r="CS95" s="436">
        <f>IF(CS94=0,0,CS76/CS94*CS89)</f>
        <v>0</v>
      </c>
      <c r="CT95" s="436"/>
      <c r="CU95" s="436">
        <f>SUM(BW95:CS95)</f>
        <v>0</v>
      </c>
      <c r="CV95" s="436"/>
      <c r="CW95" s="415"/>
      <c r="CX95" s="415"/>
      <c r="CY95" s="415"/>
      <c r="CZ95" s="415"/>
      <c r="DA95" s="415"/>
      <c r="DB95" s="415"/>
      <c r="DC95" s="415"/>
      <c r="DD95" s="415"/>
      <c r="DE95" s="415"/>
      <c r="DF95" s="415"/>
      <c r="DG95" s="415"/>
      <c r="DH95" s="415"/>
      <c r="DI95" s="415"/>
      <c r="DJ95" s="414"/>
      <c r="DK95" s="414"/>
      <c r="DL95" s="414"/>
      <c r="DM95" s="414"/>
      <c r="DN95" s="414"/>
      <c r="DO95" s="414"/>
      <c r="DP95" s="414"/>
      <c r="DQ95" s="414"/>
      <c r="DR95" s="414"/>
      <c r="DS95" s="414"/>
      <c r="DT95" s="414"/>
      <c r="DU95" s="414"/>
      <c r="DV95" s="415"/>
      <c r="DW95" s="415"/>
      <c r="DX95" s="415"/>
      <c r="DY95" s="415"/>
      <c r="DZ95" s="415"/>
      <c r="EA95" s="415"/>
      <c r="EB95" s="415"/>
      <c r="EC95" s="415"/>
      <c r="ED95" s="415"/>
      <c r="EE95" s="415"/>
      <c r="EF95" s="415"/>
      <c r="EG95" s="415"/>
      <c r="EH95" s="415"/>
      <c r="EI95" s="415"/>
      <c r="EJ95" s="415"/>
      <c r="EK95" s="414"/>
      <c r="EL95" s="414"/>
      <c r="EM95" s="414"/>
      <c r="EN95" s="414"/>
      <c r="EO95" s="414"/>
      <c r="EP95" s="414"/>
      <c r="EQ95" s="414"/>
      <c r="ER95" s="414"/>
      <c r="ES95" s="414"/>
      <c r="ET95" s="414"/>
      <c r="EU95" s="414"/>
      <c r="EV95" s="414"/>
      <c r="EW95" s="414"/>
      <c r="EX95" s="414"/>
      <c r="EY95" s="414"/>
      <c r="EZ95" s="414"/>
      <c r="FA95" s="414"/>
      <c r="FB95" s="414"/>
      <c r="FC95" s="414"/>
      <c r="FD95" s="414"/>
      <c r="FE95" s="414"/>
      <c r="FF95" s="414"/>
      <c r="FG95" s="414"/>
      <c r="FH95" s="414"/>
      <c r="FI95" s="415"/>
      <c r="FJ95" s="415"/>
      <c r="FK95" s="415"/>
      <c r="FL95" s="387"/>
      <c r="FM95" s="387"/>
      <c r="FN95" s="387"/>
      <c r="FO95" s="387"/>
      <c r="FP95" s="387"/>
      <c r="FQ95" s="387"/>
      <c r="FR95" s="387"/>
      <c r="FS95" s="387"/>
      <c r="FT95" s="387"/>
      <c r="FU95" s="387"/>
      <c r="FV95" s="387"/>
      <c r="FW95" s="387"/>
      <c r="FX95" s="387"/>
      <c r="FY95" s="387"/>
      <c r="FZ95" s="387"/>
      <c r="GA95" s="387"/>
      <c r="GB95" s="387"/>
      <c r="GC95" s="387"/>
      <c r="GD95" s="387"/>
      <c r="GE95" s="387"/>
      <c r="GF95" s="387"/>
      <c r="GG95" s="387"/>
      <c r="GH95" s="387"/>
      <c r="GI95" s="387"/>
      <c r="GJ95" s="387"/>
      <c r="GK95" s="387"/>
      <c r="GL95" s="387"/>
      <c r="GM95" s="387"/>
      <c r="GN95" s="387"/>
      <c r="GO95" s="387"/>
      <c r="GP95" s="387"/>
      <c r="GQ95" s="387"/>
      <c r="GR95" s="387"/>
      <c r="GS95" s="387"/>
      <c r="GT95" s="387"/>
      <c r="GU95" s="387"/>
      <c r="GV95" s="387"/>
      <c r="GW95" s="387"/>
      <c r="GX95" s="387"/>
      <c r="GY95" s="387"/>
      <c r="GZ95" s="387"/>
      <c r="HA95" s="387"/>
      <c r="HB95" s="387"/>
      <c r="HC95" s="387"/>
      <c r="HD95" s="387"/>
      <c r="HE95" s="387"/>
      <c r="HF95" s="387"/>
      <c r="HG95" s="387"/>
      <c r="HH95" s="387"/>
      <c r="HI95" s="387"/>
      <c r="HJ95" s="387"/>
      <c r="HK95" s="387"/>
      <c r="HL95" s="387"/>
      <c r="HM95" s="387"/>
      <c r="HN95" s="387"/>
      <c r="HO95" s="387"/>
      <c r="HP95" s="387"/>
      <c r="HQ95" s="387"/>
      <c r="HR95" s="387"/>
      <c r="HS95" s="387"/>
      <c r="HT95" s="387"/>
      <c r="HU95" s="387"/>
      <c r="HV95" s="387"/>
      <c r="HW95" s="387"/>
      <c r="HX95" s="387"/>
      <c r="HY95" s="387"/>
      <c r="HZ95" s="387"/>
      <c r="IA95" s="387"/>
      <c r="IB95" s="387"/>
      <c r="IC95" s="387"/>
      <c r="ID95" s="387"/>
      <c r="IE95" s="327"/>
      <c r="IF95" s="327"/>
      <c r="IG95" s="327"/>
      <c r="IH95" s="327"/>
      <c r="II95" s="327"/>
      <c r="IJ95" s="327"/>
      <c r="IK95" s="327"/>
      <c r="IL95" s="327"/>
      <c r="IM95" s="327"/>
      <c r="IN95" s="327"/>
    </row>
    <row r="96" spans="1:248" s="321" customFormat="1" ht="21" customHeight="1" x14ac:dyDescent="0.2">
      <c r="A96" s="449"/>
      <c r="B96" s="462" t="s">
        <v>258</v>
      </c>
      <c r="C96" s="466"/>
      <c r="D96" s="466"/>
      <c r="E96" s="449"/>
      <c r="F96" s="449"/>
      <c r="G96" s="449"/>
      <c r="H96" s="449"/>
      <c r="I96" s="449"/>
      <c r="J96" s="449"/>
      <c r="K96" s="449"/>
      <c r="L96" s="449"/>
      <c r="M96" s="449"/>
      <c r="N96" s="449"/>
      <c r="O96" s="449"/>
      <c r="P96" s="449"/>
      <c r="Q96" s="449"/>
      <c r="R96" s="449"/>
      <c r="S96" s="449"/>
      <c r="T96" s="449"/>
      <c r="U96" s="449"/>
      <c r="V96" s="449"/>
      <c r="W96" s="449"/>
      <c r="X96" s="449"/>
      <c r="Y96" s="449"/>
      <c r="Z96" s="449"/>
      <c r="AA96" s="449"/>
      <c r="AB96" s="470">
        <f>SUM(E67:AA67)</f>
        <v>0</v>
      </c>
      <c r="AC96" s="414"/>
      <c r="AD96" s="414"/>
      <c r="AE96" s="414"/>
      <c r="AF96" s="414"/>
      <c r="AG96" s="436"/>
      <c r="AH96" s="436"/>
      <c r="AI96" s="436"/>
      <c r="AJ96" s="436"/>
      <c r="AK96" s="436"/>
      <c r="AL96" s="436"/>
      <c r="AM96" s="436"/>
      <c r="AN96" s="436"/>
      <c r="AO96" s="436"/>
      <c r="AP96" s="436"/>
      <c r="AQ96" s="436"/>
      <c r="AR96" s="436"/>
      <c r="AS96" s="436"/>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36"/>
      <c r="BX96" s="436"/>
      <c r="BY96" s="436"/>
      <c r="BZ96" s="436"/>
      <c r="CA96" s="436"/>
      <c r="CB96" s="436"/>
      <c r="CC96" s="436"/>
      <c r="CD96" s="436"/>
      <c r="CE96" s="436"/>
      <c r="CF96" s="436"/>
      <c r="CG96" s="436"/>
      <c r="CH96" s="436"/>
      <c r="CI96" s="436"/>
      <c r="CJ96" s="436"/>
      <c r="CK96" s="436"/>
      <c r="CL96" s="436"/>
      <c r="CM96" s="436"/>
      <c r="CN96" s="436"/>
      <c r="CO96" s="436"/>
      <c r="CP96" s="436"/>
      <c r="CQ96" s="436"/>
      <c r="CR96" s="436"/>
      <c r="CS96" s="436"/>
      <c r="CT96" s="436"/>
      <c r="CU96" s="414"/>
      <c r="CV96" s="414"/>
      <c r="CW96" s="415"/>
      <c r="CX96" s="415"/>
      <c r="CY96" s="415"/>
      <c r="CZ96" s="415"/>
      <c r="DA96" s="415"/>
      <c r="DB96" s="415"/>
      <c r="DC96" s="415"/>
      <c r="DD96" s="415"/>
      <c r="DE96" s="415"/>
      <c r="DF96" s="415"/>
      <c r="DG96" s="415"/>
      <c r="DH96" s="415"/>
      <c r="DI96" s="415"/>
      <c r="DJ96" s="414"/>
      <c r="DK96" s="414"/>
      <c r="DL96" s="414"/>
      <c r="DM96" s="414"/>
      <c r="DN96" s="414"/>
      <c r="DO96" s="414"/>
      <c r="DP96" s="414"/>
      <c r="DQ96" s="414"/>
      <c r="DR96" s="414"/>
      <c r="DS96" s="414"/>
      <c r="DT96" s="414"/>
      <c r="DU96" s="414"/>
      <c r="DV96" s="415"/>
      <c r="DW96" s="415"/>
      <c r="DX96" s="415"/>
      <c r="DY96" s="415"/>
      <c r="DZ96" s="415"/>
      <c r="EA96" s="415"/>
      <c r="EB96" s="415"/>
      <c r="EC96" s="415"/>
      <c r="ED96" s="415"/>
      <c r="EE96" s="415"/>
      <c r="EF96" s="415"/>
      <c r="EG96" s="415"/>
      <c r="EH96" s="415"/>
      <c r="EI96" s="415"/>
      <c r="EJ96" s="415"/>
      <c r="EK96" s="414"/>
      <c r="EL96" s="414"/>
      <c r="EM96" s="414"/>
      <c r="EN96" s="414"/>
      <c r="EO96" s="414"/>
      <c r="EP96" s="414"/>
      <c r="EQ96" s="414"/>
      <c r="ER96" s="414"/>
      <c r="ES96" s="414"/>
      <c r="ET96" s="414"/>
      <c r="EU96" s="414"/>
      <c r="EV96" s="414"/>
      <c r="EW96" s="414"/>
      <c r="EX96" s="414"/>
      <c r="EY96" s="414"/>
      <c r="EZ96" s="414"/>
      <c r="FA96" s="414"/>
      <c r="FB96" s="414"/>
      <c r="FC96" s="414"/>
      <c r="FD96" s="414"/>
      <c r="FE96" s="414"/>
      <c r="FF96" s="414"/>
      <c r="FG96" s="414"/>
      <c r="FH96" s="414"/>
      <c r="FI96" s="415"/>
      <c r="FJ96" s="415"/>
      <c r="FK96" s="415"/>
      <c r="FL96" s="387"/>
      <c r="FM96" s="387"/>
      <c r="FN96" s="387"/>
      <c r="FO96" s="387"/>
      <c r="FP96" s="387"/>
      <c r="FQ96" s="387"/>
      <c r="FR96" s="387"/>
      <c r="FS96" s="387"/>
      <c r="FT96" s="387"/>
      <c r="FU96" s="387"/>
      <c r="FV96" s="387"/>
      <c r="FW96" s="387"/>
      <c r="FX96" s="387"/>
      <c r="FY96" s="387"/>
      <c r="FZ96" s="387"/>
      <c r="GA96" s="387"/>
      <c r="GB96" s="387"/>
      <c r="GC96" s="387"/>
      <c r="GD96" s="387"/>
      <c r="GE96" s="387"/>
      <c r="GF96" s="387"/>
      <c r="GG96" s="387"/>
      <c r="GH96" s="387"/>
      <c r="GI96" s="387"/>
      <c r="GJ96" s="387"/>
      <c r="GK96" s="387"/>
      <c r="GL96" s="387"/>
      <c r="GM96" s="387"/>
      <c r="GN96" s="387"/>
      <c r="GO96" s="387"/>
      <c r="GP96" s="387"/>
      <c r="GQ96" s="387"/>
      <c r="GR96" s="387"/>
      <c r="GS96" s="387"/>
      <c r="GT96" s="387"/>
      <c r="GU96" s="387"/>
      <c r="GV96" s="387"/>
      <c r="GW96" s="387"/>
      <c r="GX96" s="387"/>
      <c r="GY96" s="387"/>
      <c r="GZ96" s="387"/>
      <c r="HA96" s="387"/>
      <c r="HB96" s="387"/>
      <c r="HC96" s="387"/>
      <c r="HD96" s="387"/>
      <c r="HE96" s="387"/>
      <c r="HF96" s="387"/>
      <c r="HG96" s="387"/>
      <c r="HH96" s="387"/>
      <c r="HI96" s="387"/>
      <c r="HJ96" s="387"/>
      <c r="HK96" s="387"/>
      <c r="HL96" s="387"/>
      <c r="HM96" s="387"/>
      <c r="HN96" s="387"/>
      <c r="HO96" s="387"/>
      <c r="HP96" s="387"/>
      <c r="HQ96" s="387"/>
      <c r="HR96" s="387"/>
      <c r="HS96" s="387"/>
      <c r="HT96" s="387"/>
      <c r="HU96" s="387"/>
      <c r="HV96" s="387"/>
      <c r="HW96" s="387"/>
      <c r="HX96" s="387"/>
      <c r="HY96" s="387"/>
      <c r="HZ96" s="387"/>
      <c r="IA96" s="387"/>
      <c r="IB96" s="387"/>
      <c r="IC96" s="387"/>
      <c r="ID96" s="387"/>
      <c r="IE96" s="327"/>
      <c r="IF96" s="327"/>
      <c r="IG96" s="327"/>
      <c r="IH96" s="327"/>
      <c r="II96" s="327"/>
      <c r="IJ96" s="327"/>
      <c r="IK96" s="327"/>
      <c r="IL96" s="327"/>
      <c r="IM96" s="327"/>
      <c r="IN96" s="327"/>
    </row>
    <row r="97" spans="1:248" s="321" customFormat="1" ht="21" customHeight="1" x14ac:dyDescent="0.25">
      <c r="A97" s="449"/>
      <c r="B97" s="462"/>
      <c r="C97" s="466"/>
      <c r="D97" s="466"/>
      <c r="E97" s="464"/>
      <c r="F97" s="464"/>
      <c r="G97" s="464"/>
      <c r="H97" s="464"/>
      <c r="I97" s="464"/>
      <c r="J97" s="464"/>
      <c r="K97" s="464"/>
      <c r="L97" s="464"/>
      <c r="M97" s="464"/>
      <c r="N97" s="464"/>
      <c r="O97" s="464"/>
      <c r="P97" s="464"/>
      <c r="Q97" s="464"/>
      <c r="R97" s="464"/>
      <c r="S97" s="464"/>
      <c r="T97" s="464"/>
      <c r="U97" s="464"/>
      <c r="V97" s="464"/>
      <c r="W97" s="464"/>
      <c r="X97" s="464"/>
      <c r="Y97" s="464"/>
      <c r="Z97" s="464"/>
      <c r="AA97" s="464"/>
      <c r="AB97" s="468"/>
      <c r="AC97" s="414"/>
      <c r="AD97" s="414"/>
      <c r="AE97" s="414"/>
      <c r="AF97" s="414"/>
      <c r="AG97" s="436"/>
      <c r="AH97" s="436"/>
      <c r="AI97" s="436"/>
      <c r="AJ97" s="436"/>
      <c r="AK97" s="436"/>
      <c r="AL97" s="436"/>
      <c r="AM97" s="436"/>
      <c r="AN97" s="436"/>
      <c r="AO97" s="436"/>
      <c r="AP97" s="436"/>
      <c r="AQ97" s="436"/>
      <c r="AR97" s="436"/>
      <c r="AS97" s="436"/>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414"/>
      <c r="BU97" s="414"/>
      <c r="BV97" s="414"/>
      <c r="BW97" s="436"/>
      <c r="BX97" s="436"/>
      <c r="BY97" s="436"/>
      <c r="BZ97" s="436"/>
      <c r="CA97" s="436"/>
      <c r="CB97" s="436"/>
      <c r="CC97" s="436"/>
      <c r="CD97" s="436"/>
      <c r="CE97" s="436"/>
      <c r="CF97" s="436"/>
      <c r="CG97" s="436"/>
      <c r="CH97" s="436"/>
      <c r="CI97" s="436"/>
      <c r="CJ97" s="436"/>
      <c r="CK97" s="436"/>
      <c r="CL97" s="436"/>
      <c r="CM97" s="436"/>
      <c r="CN97" s="436"/>
      <c r="CO97" s="436"/>
      <c r="CP97" s="436"/>
      <c r="CQ97" s="436"/>
      <c r="CR97" s="436"/>
      <c r="CS97" s="447" t="s">
        <v>85</v>
      </c>
      <c r="CT97" s="448"/>
      <c r="CU97" s="436">
        <f>CU78</f>
        <v>0</v>
      </c>
      <c r="CV97" s="436"/>
      <c r="CW97" s="415"/>
      <c r="CX97" s="415"/>
      <c r="CY97" s="415"/>
      <c r="CZ97" s="415"/>
      <c r="DA97" s="415"/>
      <c r="DB97" s="415"/>
      <c r="DC97" s="415"/>
      <c r="DD97" s="415"/>
      <c r="DE97" s="415"/>
      <c r="DF97" s="415"/>
      <c r="DG97" s="415"/>
      <c r="DH97" s="415"/>
      <c r="DI97" s="415"/>
      <c r="DJ97" s="414"/>
      <c r="DK97" s="414"/>
      <c r="DL97" s="414"/>
      <c r="DM97" s="414"/>
      <c r="DN97" s="414"/>
      <c r="DO97" s="414"/>
      <c r="DP97" s="414"/>
      <c r="DQ97" s="414"/>
      <c r="DR97" s="414"/>
      <c r="DS97" s="414"/>
      <c r="DT97" s="414"/>
      <c r="DU97" s="414"/>
      <c r="DV97" s="415"/>
      <c r="DW97" s="415"/>
      <c r="DX97" s="415"/>
      <c r="DY97" s="415"/>
      <c r="DZ97" s="415"/>
      <c r="EA97" s="415"/>
      <c r="EB97" s="415"/>
      <c r="EC97" s="415"/>
      <c r="ED97" s="415"/>
      <c r="EE97" s="415"/>
      <c r="EF97" s="415"/>
      <c r="EG97" s="415"/>
      <c r="EH97" s="415"/>
      <c r="EI97" s="415"/>
      <c r="EJ97" s="415"/>
      <c r="EK97" s="414"/>
      <c r="EL97" s="414"/>
      <c r="EM97" s="414"/>
      <c r="EN97" s="414"/>
      <c r="EO97" s="414"/>
      <c r="EP97" s="414"/>
      <c r="EQ97" s="414"/>
      <c r="ER97" s="414"/>
      <c r="ES97" s="414"/>
      <c r="ET97" s="414"/>
      <c r="EU97" s="414"/>
      <c r="EV97" s="414"/>
      <c r="EW97" s="414"/>
      <c r="EX97" s="414"/>
      <c r="EY97" s="414"/>
      <c r="EZ97" s="414"/>
      <c r="FA97" s="414"/>
      <c r="FB97" s="414"/>
      <c r="FC97" s="414"/>
      <c r="FD97" s="414"/>
      <c r="FE97" s="414"/>
      <c r="FF97" s="414"/>
      <c r="FG97" s="414"/>
      <c r="FH97" s="414"/>
      <c r="FI97" s="415"/>
      <c r="FJ97" s="415"/>
      <c r="FK97" s="415"/>
      <c r="FL97" s="387"/>
      <c r="FM97" s="387"/>
      <c r="FN97" s="387"/>
      <c r="FO97" s="387"/>
      <c r="FP97" s="387"/>
      <c r="FQ97" s="387"/>
      <c r="FR97" s="387"/>
      <c r="FS97" s="387"/>
      <c r="FT97" s="387"/>
      <c r="FU97" s="387"/>
      <c r="FV97" s="387"/>
      <c r="FW97" s="387"/>
      <c r="FX97" s="387"/>
      <c r="FY97" s="387"/>
      <c r="FZ97" s="387"/>
      <c r="GA97" s="387"/>
      <c r="GB97" s="387"/>
      <c r="GC97" s="387"/>
      <c r="GD97" s="387"/>
      <c r="GE97" s="387"/>
      <c r="GF97" s="387"/>
      <c r="GG97" s="387"/>
      <c r="GH97" s="387"/>
      <c r="GI97" s="387"/>
      <c r="GJ97" s="387"/>
      <c r="GK97" s="387"/>
      <c r="GL97" s="387"/>
      <c r="GM97" s="387"/>
      <c r="GN97" s="387"/>
      <c r="GO97" s="387"/>
      <c r="GP97" s="387"/>
      <c r="GQ97" s="387"/>
      <c r="GR97" s="387"/>
      <c r="GS97" s="387"/>
      <c r="GT97" s="387"/>
      <c r="GU97" s="387"/>
      <c r="GV97" s="387"/>
      <c r="GW97" s="387"/>
      <c r="GX97" s="387"/>
      <c r="GY97" s="387"/>
      <c r="GZ97" s="387"/>
      <c r="HA97" s="387"/>
      <c r="HB97" s="387"/>
      <c r="HC97" s="387"/>
      <c r="HD97" s="387"/>
      <c r="HE97" s="387"/>
      <c r="HF97" s="387"/>
      <c r="HG97" s="387"/>
      <c r="HH97" s="387"/>
      <c r="HI97" s="387"/>
      <c r="HJ97" s="387"/>
      <c r="HK97" s="387"/>
      <c r="HL97" s="387"/>
      <c r="HM97" s="387"/>
      <c r="HN97" s="387"/>
      <c r="HO97" s="387"/>
      <c r="HP97" s="387"/>
      <c r="HQ97" s="387"/>
      <c r="HR97" s="387"/>
      <c r="HS97" s="387"/>
      <c r="HT97" s="387"/>
      <c r="HU97" s="387"/>
      <c r="HV97" s="387"/>
      <c r="HW97" s="387"/>
      <c r="HX97" s="387"/>
      <c r="HY97" s="387"/>
      <c r="HZ97" s="387"/>
      <c r="IA97" s="387"/>
      <c r="IB97" s="387"/>
      <c r="IC97" s="387"/>
      <c r="ID97" s="387"/>
      <c r="IE97" s="327"/>
      <c r="IF97" s="327"/>
      <c r="IG97" s="327"/>
      <c r="IH97" s="327"/>
      <c r="II97" s="327"/>
      <c r="IJ97" s="327"/>
      <c r="IK97" s="327"/>
      <c r="IL97" s="327"/>
      <c r="IM97" s="327"/>
      <c r="IN97" s="327"/>
    </row>
    <row r="98" spans="1:248" s="321" customFormat="1" ht="21" customHeight="1" x14ac:dyDescent="0.25">
      <c r="A98" s="449"/>
      <c r="B98" s="449"/>
      <c r="C98" s="466"/>
      <c r="D98" s="466"/>
      <c r="E98" s="466"/>
      <c r="F98" s="464"/>
      <c r="G98" s="464"/>
      <c r="H98" s="464"/>
      <c r="I98" s="464"/>
      <c r="J98" s="464"/>
      <c r="K98" s="464"/>
      <c r="L98" s="464"/>
      <c r="M98" s="464"/>
      <c r="N98" s="464"/>
      <c r="O98" s="464"/>
      <c r="P98" s="464"/>
      <c r="Q98" s="464"/>
      <c r="R98" s="464"/>
      <c r="S98" s="464"/>
      <c r="T98" s="464"/>
      <c r="U98" s="464"/>
      <c r="V98" s="464"/>
      <c r="W98" s="464"/>
      <c r="X98" s="464"/>
      <c r="Y98" s="464"/>
      <c r="Z98" s="464"/>
      <c r="AA98" s="471" t="s">
        <v>85</v>
      </c>
      <c r="AB98" s="472">
        <f>AB96</f>
        <v>0</v>
      </c>
      <c r="AC98" s="486" t="s">
        <v>110</v>
      </c>
      <c r="AD98" s="414"/>
      <c r="AE98" s="414"/>
      <c r="AF98" s="414"/>
      <c r="AG98" s="448"/>
      <c r="AH98" s="448"/>
      <c r="AI98" s="448"/>
      <c r="AJ98" s="448"/>
      <c r="AK98" s="448"/>
      <c r="AL98" s="448"/>
      <c r="AM98" s="448"/>
      <c r="AN98" s="448"/>
      <c r="AO98" s="448"/>
      <c r="AP98" s="448"/>
      <c r="AQ98" s="448"/>
      <c r="AR98" s="448"/>
      <c r="AS98" s="448"/>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414"/>
      <c r="BU98" s="414"/>
      <c r="BV98" s="414"/>
      <c r="BW98" s="436"/>
      <c r="BX98" s="436"/>
      <c r="BY98" s="436"/>
      <c r="BZ98" s="436"/>
      <c r="CA98" s="436"/>
      <c r="CB98" s="436"/>
      <c r="CC98" s="436"/>
      <c r="CD98" s="436"/>
      <c r="CE98" s="436"/>
      <c r="CF98" s="436"/>
      <c r="CG98" s="436"/>
      <c r="CH98" s="436"/>
      <c r="CI98" s="436"/>
      <c r="CJ98" s="436"/>
      <c r="CK98" s="436"/>
      <c r="CL98" s="436"/>
      <c r="CM98" s="436"/>
      <c r="CN98" s="436"/>
      <c r="CO98" s="436"/>
      <c r="CP98" s="436"/>
      <c r="CQ98" s="436"/>
      <c r="CR98" s="436"/>
      <c r="CS98" s="436"/>
      <c r="CT98" s="436"/>
      <c r="CU98" s="414"/>
      <c r="CV98" s="414"/>
      <c r="CW98" s="415"/>
      <c r="CX98" s="415"/>
      <c r="CY98" s="415"/>
      <c r="CZ98" s="415"/>
      <c r="DA98" s="415"/>
      <c r="DB98" s="415"/>
      <c r="DC98" s="415"/>
      <c r="DD98" s="415"/>
      <c r="DE98" s="415"/>
      <c r="DF98" s="415"/>
      <c r="DG98" s="415"/>
      <c r="DH98" s="415"/>
      <c r="DI98" s="415"/>
      <c r="DJ98" s="414"/>
      <c r="DK98" s="414"/>
      <c r="DL98" s="414"/>
      <c r="DM98" s="414"/>
      <c r="DN98" s="414"/>
      <c r="DO98" s="414"/>
      <c r="DP98" s="414"/>
      <c r="DQ98" s="414"/>
      <c r="DR98" s="414"/>
      <c r="DS98" s="414"/>
      <c r="DT98" s="414"/>
      <c r="DU98" s="414"/>
      <c r="DV98" s="415"/>
      <c r="DW98" s="415"/>
      <c r="DX98" s="415"/>
      <c r="DY98" s="415"/>
      <c r="DZ98" s="415"/>
      <c r="EA98" s="415"/>
      <c r="EB98" s="415"/>
      <c r="EC98" s="415"/>
      <c r="ED98" s="415"/>
      <c r="EE98" s="415"/>
      <c r="EF98" s="415"/>
      <c r="EG98" s="415"/>
      <c r="EH98" s="415"/>
      <c r="EI98" s="415"/>
      <c r="EJ98" s="415"/>
      <c r="EK98" s="414"/>
      <c r="EL98" s="414"/>
      <c r="EM98" s="414"/>
      <c r="EN98" s="414"/>
      <c r="EO98" s="414"/>
      <c r="EP98" s="414"/>
      <c r="EQ98" s="414"/>
      <c r="ER98" s="414"/>
      <c r="ES98" s="414"/>
      <c r="ET98" s="414"/>
      <c r="EU98" s="414"/>
      <c r="EV98" s="414"/>
      <c r="EW98" s="414"/>
      <c r="EX98" s="414"/>
      <c r="EY98" s="414"/>
      <c r="EZ98" s="414"/>
      <c r="FA98" s="414"/>
      <c r="FB98" s="414"/>
      <c r="FC98" s="414"/>
      <c r="FD98" s="414"/>
      <c r="FE98" s="414"/>
      <c r="FF98" s="414"/>
      <c r="FG98" s="414"/>
      <c r="FH98" s="414"/>
      <c r="FI98" s="415"/>
      <c r="FJ98" s="415"/>
      <c r="FK98" s="415"/>
      <c r="FL98" s="387"/>
      <c r="FM98" s="387"/>
      <c r="FN98" s="387"/>
      <c r="FO98" s="387"/>
      <c r="FP98" s="387"/>
      <c r="FQ98" s="387"/>
      <c r="FR98" s="387"/>
      <c r="FS98" s="387"/>
      <c r="FT98" s="387"/>
      <c r="FU98" s="387"/>
      <c r="FV98" s="387"/>
      <c r="FW98" s="387"/>
      <c r="FX98" s="387"/>
      <c r="FY98" s="387"/>
      <c r="FZ98" s="387"/>
      <c r="GA98" s="387"/>
      <c r="GB98" s="387"/>
      <c r="GC98" s="387"/>
      <c r="GD98" s="387"/>
      <c r="GE98" s="387"/>
      <c r="GF98" s="387"/>
      <c r="GG98" s="387"/>
      <c r="GH98" s="387"/>
      <c r="GI98" s="387"/>
      <c r="GJ98" s="387"/>
      <c r="GK98" s="387"/>
      <c r="GL98" s="387"/>
      <c r="GM98" s="387"/>
      <c r="GN98" s="387"/>
      <c r="GO98" s="387"/>
      <c r="GP98" s="387"/>
      <c r="GQ98" s="387"/>
      <c r="GR98" s="387"/>
      <c r="GS98" s="387"/>
      <c r="GT98" s="387"/>
      <c r="GU98" s="387"/>
      <c r="GV98" s="387"/>
      <c r="GW98" s="387"/>
      <c r="GX98" s="387"/>
      <c r="GY98" s="387"/>
      <c r="GZ98" s="387"/>
      <c r="HA98" s="387"/>
      <c r="HB98" s="387"/>
      <c r="HC98" s="387"/>
      <c r="HD98" s="387"/>
      <c r="HE98" s="387"/>
      <c r="HF98" s="387"/>
      <c r="HG98" s="387"/>
      <c r="HH98" s="387"/>
      <c r="HI98" s="387"/>
      <c r="HJ98" s="387"/>
      <c r="HK98" s="387"/>
      <c r="HL98" s="387"/>
      <c r="HM98" s="387"/>
      <c r="HN98" s="387"/>
      <c r="HO98" s="387"/>
      <c r="HP98" s="387"/>
      <c r="HQ98" s="387"/>
      <c r="HR98" s="387"/>
      <c r="HS98" s="387"/>
      <c r="HT98" s="387"/>
      <c r="HU98" s="387"/>
      <c r="HV98" s="387"/>
      <c r="HW98" s="387"/>
      <c r="HX98" s="387"/>
      <c r="HY98" s="387"/>
      <c r="HZ98" s="387"/>
      <c r="IA98" s="387"/>
      <c r="IB98" s="387"/>
      <c r="IC98" s="387"/>
      <c r="ID98" s="387"/>
      <c r="IE98" s="327"/>
      <c r="IF98" s="327"/>
      <c r="IG98" s="327"/>
      <c r="IH98" s="327"/>
      <c r="II98" s="327"/>
      <c r="IJ98" s="327"/>
      <c r="IK98" s="327"/>
      <c r="IL98" s="327"/>
      <c r="IM98" s="327"/>
      <c r="IN98" s="327"/>
    </row>
    <row r="99" spans="1:248" s="321" customFormat="1" ht="21" customHeight="1" x14ac:dyDescent="0.2">
      <c r="A99" s="449"/>
      <c r="B99" s="449"/>
      <c r="C99" s="466"/>
      <c r="D99" s="466"/>
      <c r="E99" s="466"/>
      <c r="F99" s="464"/>
      <c r="G99" s="464"/>
      <c r="H99" s="464"/>
      <c r="I99" s="464"/>
      <c r="J99" s="464"/>
      <c r="K99" s="464"/>
      <c r="L99" s="464"/>
      <c r="M99" s="464"/>
      <c r="N99" s="464"/>
      <c r="O99" s="464"/>
      <c r="P99" s="464"/>
      <c r="Q99" s="464"/>
      <c r="R99" s="464"/>
      <c r="S99" s="464"/>
      <c r="T99" s="464"/>
      <c r="U99" s="464"/>
      <c r="V99" s="464"/>
      <c r="W99" s="464"/>
      <c r="X99" s="464"/>
      <c r="Y99" s="464"/>
      <c r="Z99" s="464"/>
      <c r="AA99" s="464"/>
      <c r="AB99" s="468"/>
      <c r="AC99" s="414"/>
      <c r="AD99" s="414"/>
      <c r="AE99" s="414"/>
      <c r="AF99" s="414"/>
      <c r="AG99" s="436"/>
      <c r="AH99" s="436"/>
      <c r="AI99" s="436"/>
      <c r="AJ99" s="436"/>
      <c r="AK99" s="436"/>
      <c r="AL99" s="436"/>
      <c r="AM99" s="436"/>
      <c r="AN99" s="436"/>
      <c r="AO99" s="436"/>
      <c r="AP99" s="436"/>
      <c r="AQ99" s="436"/>
      <c r="AR99" s="436"/>
      <c r="AS99" s="436"/>
      <c r="AT99" s="436"/>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414"/>
      <c r="BU99" s="414"/>
      <c r="BV99" s="415"/>
      <c r="BW99" s="415"/>
      <c r="BX99" s="415"/>
      <c r="BY99" s="415"/>
      <c r="BZ99" s="415"/>
      <c r="CA99" s="415"/>
      <c r="CB99" s="415"/>
      <c r="CC99" s="415"/>
      <c r="CD99" s="415"/>
      <c r="CE99" s="415"/>
      <c r="CF99" s="415"/>
      <c r="CG99" s="415"/>
      <c r="CH99" s="415"/>
      <c r="CI99" s="415"/>
      <c r="CJ99" s="415"/>
      <c r="CK99" s="415"/>
      <c r="CL99" s="415"/>
      <c r="CM99" s="415"/>
      <c r="CN99" s="415"/>
      <c r="CO99" s="415"/>
      <c r="CP99" s="415"/>
      <c r="CQ99" s="415"/>
      <c r="CR99" s="415"/>
      <c r="CS99" s="448" t="s">
        <v>95</v>
      </c>
      <c r="CT99" s="436"/>
      <c r="CU99" s="436" t="s">
        <v>3</v>
      </c>
      <c r="CV99" s="415"/>
      <c r="CW99" s="415"/>
      <c r="CX99" s="415"/>
      <c r="CY99" s="415"/>
      <c r="CZ99" s="415"/>
      <c r="DA99" s="415"/>
      <c r="DB99" s="415"/>
      <c r="DC99" s="415"/>
      <c r="DD99" s="415"/>
      <c r="DE99" s="415"/>
      <c r="DF99" s="415"/>
      <c r="DG99" s="415"/>
      <c r="DH99" s="415"/>
      <c r="DI99" s="415"/>
      <c r="DJ99" s="414"/>
      <c r="DK99" s="414"/>
      <c r="DL99" s="414"/>
      <c r="DM99" s="414"/>
      <c r="DN99" s="414"/>
      <c r="DO99" s="414"/>
      <c r="DP99" s="414"/>
      <c r="DQ99" s="414"/>
      <c r="DR99" s="414"/>
      <c r="DS99" s="414"/>
      <c r="DT99" s="414"/>
      <c r="DU99" s="414"/>
      <c r="DV99" s="415"/>
      <c r="DW99" s="415"/>
      <c r="DX99" s="415"/>
      <c r="DY99" s="415"/>
      <c r="DZ99" s="415"/>
      <c r="EA99" s="415"/>
      <c r="EB99" s="415"/>
      <c r="EC99" s="415"/>
      <c r="ED99" s="415"/>
      <c r="EE99" s="415"/>
      <c r="EF99" s="415"/>
      <c r="EG99" s="415"/>
      <c r="EH99" s="415"/>
      <c r="EI99" s="415"/>
      <c r="EJ99" s="415"/>
      <c r="EK99" s="414"/>
      <c r="EL99" s="414"/>
      <c r="EM99" s="414"/>
      <c r="EN99" s="414"/>
      <c r="EO99" s="414"/>
      <c r="EP99" s="414"/>
      <c r="EQ99" s="414"/>
      <c r="ER99" s="414"/>
      <c r="ES99" s="414"/>
      <c r="ET99" s="414"/>
      <c r="EU99" s="414"/>
      <c r="EV99" s="414"/>
      <c r="EW99" s="414"/>
      <c r="EX99" s="414"/>
      <c r="EY99" s="414"/>
      <c r="EZ99" s="414"/>
      <c r="FA99" s="414"/>
      <c r="FB99" s="414"/>
      <c r="FC99" s="414"/>
      <c r="FD99" s="414"/>
      <c r="FE99" s="414"/>
      <c r="FF99" s="414"/>
      <c r="FG99" s="414"/>
      <c r="FH99" s="414"/>
      <c r="FI99" s="415"/>
      <c r="FJ99" s="415"/>
      <c r="FK99" s="415"/>
      <c r="FL99" s="387"/>
      <c r="FM99" s="387"/>
      <c r="FN99" s="387"/>
      <c r="FO99" s="387"/>
      <c r="FP99" s="387"/>
      <c r="FQ99" s="387"/>
      <c r="FR99" s="387"/>
      <c r="FS99" s="387"/>
      <c r="FT99" s="387"/>
      <c r="FU99" s="387"/>
      <c r="FV99" s="387"/>
      <c r="FW99" s="387"/>
      <c r="FX99" s="387"/>
      <c r="FY99" s="387"/>
      <c r="FZ99" s="387"/>
      <c r="GA99" s="387"/>
      <c r="GB99" s="387"/>
      <c r="GC99" s="387"/>
      <c r="GD99" s="387"/>
      <c r="GE99" s="387"/>
      <c r="GF99" s="387"/>
      <c r="GG99" s="387"/>
      <c r="GH99" s="387"/>
      <c r="GI99" s="387"/>
      <c r="GJ99" s="387"/>
      <c r="GK99" s="387"/>
      <c r="GL99" s="387"/>
      <c r="GM99" s="387"/>
      <c r="GN99" s="387"/>
      <c r="GO99" s="387"/>
      <c r="GP99" s="387"/>
      <c r="GQ99" s="387"/>
      <c r="GR99" s="387"/>
      <c r="GS99" s="387"/>
      <c r="GT99" s="387"/>
      <c r="GU99" s="387"/>
      <c r="GV99" s="387"/>
      <c r="GW99" s="387"/>
      <c r="GX99" s="387"/>
      <c r="GY99" s="387"/>
      <c r="GZ99" s="387"/>
      <c r="HA99" s="387"/>
      <c r="HB99" s="387"/>
      <c r="HC99" s="387"/>
      <c r="HD99" s="387"/>
      <c r="HE99" s="387"/>
      <c r="HF99" s="387"/>
      <c r="HG99" s="387"/>
      <c r="HH99" s="387"/>
      <c r="HI99" s="387"/>
      <c r="HJ99" s="387"/>
      <c r="HK99" s="387"/>
      <c r="HL99" s="387"/>
      <c r="HM99" s="387"/>
      <c r="HN99" s="387"/>
      <c r="HO99" s="387"/>
      <c r="HP99" s="387"/>
      <c r="HQ99" s="387"/>
      <c r="HR99" s="387"/>
      <c r="HS99" s="387"/>
      <c r="HT99" s="387"/>
      <c r="HU99" s="387"/>
      <c r="HV99" s="387"/>
      <c r="HW99" s="387"/>
      <c r="HX99" s="387"/>
      <c r="HY99" s="387"/>
      <c r="HZ99" s="387"/>
      <c r="IA99" s="387"/>
      <c r="IB99" s="387"/>
      <c r="IC99" s="387"/>
      <c r="ID99" s="387"/>
      <c r="IE99" s="327"/>
      <c r="IF99" s="327"/>
      <c r="IG99" s="327"/>
      <c r="IH99" s="327"/>
      <c r="II99" s="327"/>
      <c r="IJ99" s="327"/>
      <c r="IK99" s="327"/>
      <c r="IL99" s="327"/>
      <c r="IM99" s="327"/>
      <c r="IN99" s="327"/>
    </row>
    <row r="100" spans="1:248" s="321" customFormat="1" ht="21" customHeight="1" x14ac:dyDescent="0.2">
      <c r="A100" s="449"/>
      <c r="B100" s="449"/>
      <c r="C100" s="466"/>
      <c r="D100" s="449"/>
      <c r="E100" s="466"/>
      <c r="F100" s="449"/>
      <c r="G100" s="449"/>
      <c r="H100" s="449"/>
      <c r="I100" s="449"/>
      <c r="J100" s="449"/>
      <c r="K100" s="449"/>
      <c r="L100" s="449"/>
      <c r="M100" s="449"/>
      <c r="N100" s="449"/>
      <c r="O100" s="449"/>
      <c r="P100" s="449"/>
      <c r="Q100" s="449"/>
      <c r="R100" s="449"/>
      <c r="S100" s="449"/>
      <c r="T100" s="449"/>
      <c r="U100" s="449"/>
      <c r="V100" s="449"/>
      <c r="W100" s="449"/>
      <c r="X100" s="449"/>
      <c r="Y100" s="449"/>
      <c r="Z100" s="449"/>
      <c r="AA100" s="473"/>
      <c r="AB100" s="470" t="s">
        <v>3</v>
      </c>
      <c r="AC100" s="414"/>
      <c r="AD100" s="414"/>
      <c r="AE100" s="414"/>
      <c r="AF100" s="414"/>
      <c r="AG100" s="436"/>
      <c r="AH100" s="436"/>
      <c r="AI100" s="436"/>
      <c r="AJ100" s="436"/>
      <c r="AK100" s="436"/>
      <c r="AL100" s="436"/>
      <c r="AM100" s="436"/>
      <c r="AN100" s="436"/>
      <c r="AO100" s="436"/>
      <c r="AP100" s="436"/>
      <c r="AQ100" s="436"/>
      <c r="AR100" s="436"/>
      <c r="AS100" s="436"/>
      <c r="AT100" s="436"/>
      <c r="AU100" s="436" t="s">
        <v>3</v>
      </c>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414"/>
      <c r="BU100" s="414"/>
      <c r="BV100" s="414"/>
      <c r="BW100" s="436"/>
      <c r="BX100" s="436"/>
      <c r="BY100" s="436"/>
      <c r="BZ100" s="436"/>
      <c r="CA100" s="436"/>
      <c r="CB100" s="436"/>
      <c r="CC100" s="436"/>
      <c r="CD100" s="436"/>
      <c r="CE100" s="436"/>
      <c r="CF100" s="436"/>
      <c r="CG100" s="436"/>
      <c r="CH100" s="436"/>
      <c r="CI100" s="436"/>
      <c r="CJ100" s="436"/>
      <c r="CK100" s="436"/>
      <c r="CL100" s="436"/>
      <c r="CM100" s="436"/>
      <c r="CN100" s="436"/>
      <c r="CO100" s="436"/>
      <c r="CP100" s="436"/>
      <c r="CQ100" s="436"/>
      <c r="CR100" s="436"/>
      <c r="CS100" s="436"/>
      <c r="CT100" s="436"/>
      <c r="CU100" s="414"/>
      <c r="CV100" s="414"/>
      <c r="CW100" s="415"/>
      <c r="CX100" s="415"/>
      <c r="CY100" s="415"/>
      <c r="CZ100" s="415"/>
      <c r="DA100" s="415"/>
      <c r="DB100" s="415"/>
      <c r="DC100" s="415"/>
      <c r="DD100" s="415"/>
      <c r="DE100" s="415"/>
      <c r="DF100" s="415"/>
      <c r="DG100" s="415"/>
      <c r="DH100" s="415"/>
      <c r="DI100" s="415"/>
      <c r="DJ100" s="414"/>
      <c r="DK100" s="414"/>
      <c r="DL100" s="414"/>
      <c r="DM100" s="414"/>
      <c r="DN100" s="414"/>
      <c r="DO100" s="414"/>
      <c r="DP100" s="414"/>
      <c r="DQ100" s="414"/>
      <c r="DR100" s="414"/>
      <c r="DS100" s="414"/>
      <c r="DT100" s="414"/>
      <c r="DU100" s="414"/>
      <c r="DV100" s="415"/>
      <c r="DW100" s="415"/>
      <c r="DX100" s="415"/>
      <c r="DY100" s="415"/>
      <c r="DZ100" s="415"/>
      <c r="EA100" s="415"/>
      <c r="EB100" s="415"/>
      <c r="EC100" s="415"/>
      <c r="ED100" s="415"/>
      <c r="EE100" s="415"/>
      <c r="EF100" s="415"/>
      <c r="EG100" s="415"/>
      <c r="EH100" s="415"/>
      <c r="EI100" s="415"/>
      <c r="EJ100" s="415"/>
      <c r="EK100" s="414"/>
      <c r="EL100" s="414"/>
      <c r="EM100" s="414"/>
      <c r="EN100" s="414"/>
      <c r="EO100" s="414"/>
      <c r="EP100" s="414"/>
      <c r="EQ100" s="414"/>
      <c r="ER100" s="414"/>
      <c r="ES100" s="414"/>
      <c r="ET100" s="414"/>
      <c r="EU100" s="414"/>
      <c r="EV100" s="414"/>
      <c r="EW100" s="414"/>
      <c r="EX100" s="414"/>
      <c r="EY100" s="414"/>
      <c r="EZ100" s="414"/>
      <c r="FA100" s="414"/>
      <c r="FB100" s="414"/>
      <c r="FC100" s="414"/>
      <c r="FD100" s="414"/>
      <c r="FE100" s="414"/>
      <c r="FF100" s="414"/>
      <c r="FG100" s="414"/>
      <c r="FH100" s="414"/>
      <c r="FI100" s="415"/>
      <c r="FJ100" s="415"/>
      <c r="FK100" s="415"/>
      <c r="FL100" s="387"/>
      <c r="FM100" s="387"/>
      <c r="FN100" s="387"/>
      <c r="FO100" s="387"/>
      <c r="FP100" s="387"/>
      <c r="FQ100" s="387"/>
      <c r="FR100" s="387"/>
      <c r="FS100" s="387"/>
      <c r="FT100" s="387"/>
      <c r="FU100" s="387"/>
      <c r="FV100" s="387"/>
      <c r="FW100" s="387"/>
      <c r="FX100" s="387"/>
      <c r="FY100" s="387"/>
      <c r="FZ100" s="387"/>
      <c r="GA100" s="387"/>
      <c r="GB100" s="387"/>
      <c r="GC100" s="387"/>
      <c r="GD100" s="387"/>
      <c r="GE100" s="387"/>
      <c r="GF100" s="387"/>
      <c r="GG100" s="387"/>
      <c r="GH100" s="387"/>
      <c r="GI100" s="387"/>
      <c r="GJ100" s="387"/>
      <c r="GK100" s="387"/>
      <c r="GL100" s="387"/>
      <c r="GM100" s="387"/>
      <c r="GN100" s="387"/>
      <c r="GO100" s="387"/>
      <c r="GP100" s="387"/>
      <c r="GQ100" s="387"/>
      <c r="GR100" s="387"/>
      <c r="GS100" s="387"/>
      <c r="GT100" s="387"/>
      <c r="GU100" s="387"/>
      <c r="GV100" s="387"/>
      <c r="GW100" s="387"/>
      <c r="GX100" s="387"/>
      <c r="GY100" s="387"/>
      <c r="GZ100" s="387"/>
      <c r="HA100" s="387"/>
      <c r="HB100" s="387"/>
      <c r="HC100" s="387"/>
      <c r="HD100" s="387"/>
      <c r="HE100" s="387"/>
      <c r="HF100" s="387"/>
      <c r="HG100" s="387"/>
      <c r="HH100" s="387"/>
      <c r="HI100" s="387"/>
      <c r="HJ100" s="387"/>
      <c r="HK100" s="387"/>
      <c r="HL100" s="387"/>
      <c r="HM100" s="387"/>
      <c r="HN100" s="387"/>
      <c r="HO100" s="387"/>
      <c r="HP100" s="387"/>
      <c r="HQ100" s="387"/>
      <c r="HR100" s="387"/>
      <c r="HS100" s="387"/>
      <c r="HT100" s="387"/>
      <c r="HU100" s="387"/>
      <c r="HV100" s="387"/>
      <c r="HW100" s="387"/>
      <c r="HX100" s="387"/>
      <c r="HY100" s="387"/>
      <c r="HZ100" s="387"/>
      <c r="IA100" s="387"/>
      <c r="IB100" s="387"/>
      <c r="IC100" s="387"/>
      <c r="ID100" s="387"/>
      <c r="IE100" s="327"/>
      <c r="IF100" s="327"/>
      <c r="IG100" s="327"/>
      <c r="IH100" s="327"/>
      <c r="II100" s="327"/>
      <c r="IJ100" s="327"/>
      <c r="IK100" s="327"/>
      <c r="IL100" s="327"/>
      <c r="IM100" s="327"/>
      <c r="IN100" s="327"/>
    </row>
    <row r="101" spans="1:248" s="321" customFormat="1" ht="21" customHeight="1" x14ac:dyDescent="0.2">
      <c r="A101" s="449"/>
      <c r="C101" s="466"/>
      <c r="D101" s="621">
        <f>SUM(D32:D62)</f>
        <v>0</v>
      </c>
      <c r="E101" s="449"/>
      <c r="F101" s="450"/>
      <c r="G101" s="450"/>
      <c r="H101" s="450"/>
      <c r="I101" s="450"/>
      <c r="J101" s="450"/>
      <c r="K101" s="450"/>
      <c r="L101" s="450"/>
      <c r="M101" s="450"/>
      <c r="N101" s="450"/>
      <c r="O101" s="450"/>
      <c r="P101" s="450"/>
      <c r="Q101" s="451" t="s">
        <v>160</v>
      </c>
      <c r="R101" s="450"/>
      <c r="S101" s="449"/>
      <c r="T101" s="449"/>
      <c r="U101" s="464"/>
      <c r="V101" s="464"/>
      <c r="W101" s="464"/>
      <c r="X101" s="464"/>
      <c r="Y101" s="464"/>
      <c r="Z101" s="464"/>
      <c r="AA101" s="449"/>
      <c r="AB101" s="449"/>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414"/>
      <c r="BU101" s="414"/>
      <c r="BV101" s="414"/>
      <c r="BW101" s="436"/>
      <c r="BX101" s="436"/>
      <c r="BY101" s="436"/>
      <c r="BZ101" s="436"/>
      <c r="CA101" s="436"/>
      <c r="CB101" s="436"/>
      <c r="CC101" s="436"/>
      <c r="CD101" s="436"/>
      <c r="CE101" s="436"/>
      <c r="CF101" s="436"/>
      <c r="CG101" s="436"/>
      <c r="CH101" s="436"/>
      <c r="CI101" s="436"/>
      <c r="CJ101" s="436"/>
      <c r="CK101" s="436"/>
      <c r="CL101" s="436"/>
      <c r="CM101" s="436"/>
      <c r="CN101" s="436"/>
      <c r="CO101" s="436"/>
      <c r="CP101" s="436"/>
      <c r="CQ101" s="436"/>
      <c r="CR101" s="436"/>
      <c r="CS101" s="436"/>
      <c r="CT101" s="436"/>
      <c r="CU101" s="414"/>
      <c r="CV101" s="414"/>
      <c r="CW101" s="415"/>
      <c r="CX101" s="415"/>
      <c r="CY101" s="415"/>
      <c r="CZ101" s="415"/>
      <c r="DA101" s="415"/>
      <c r="DB101" s="415"/>
      <c r="DC101" s="415"/>
      <c r="DD101" s="415"/>
      <c r="DE101" s="415"/>
      <c r="DF101" s="415"/>
      <c r="DG101" s="415"/>
      <c r="DH101" s="415"/>
      <c r="DI101" s="415"/>
      <c r="DJ101" s="414"/>
      <c r="DK101" s="414"/>
      <c r="DL101" s="414"/>
      <c r="DM101" s="414"/>
      <c r="DN101" s="414"/>
      <c r="DO101" s="414"/>
      <c r="DP101" s="414"/>
      <c r="DQ101" s="414"/>
      <c r="DR101" s="414"/>
      <c r="DS101" s="414"/>
      <c r="DT101" s="414"/>
      <c r="DU101" s="414"/>
      <c r="DV101" s="415"/>
      <c r="DW101" s="415"/>
      <c r="DX101" s="415"/>
      <c r="DY101" s="415"/>
      <c r="DZ101" s="415"/>
      <c r="EA101" s="415"/>
      <c r="EB101" s="415"/>
      <c r="EC101" s="415"/>
      <c r="ED101" s="415"/>
      <c r="EE101" s="415"/>
      <c r="EF101" s="415"/>
      <c r="EG101" s="415"/>
      <c r="EH101" s="415"/>
      <c r="EI101" s="415"/>
      <c r="EJ101" s="415"/>
      <c r="EK101" s="414"/>
      <c r="EL101" s="414"/>
      <c r="EM101" s="414"/>
      <c r="EN101" s="414"/>
      <c r="EO101" s="414"/>
      <c r="EP101" s="414"/>
      <c r="EQ101" s="414"/>
      <c r="ER101" s="414"/>
      <c r="ES101" s="414"/>
      <c r="ET101" s="414"/>
      <c r="EU101" s="414"/>
      <c r="EV101" s="414"/>
      <c r="EW101" s="414"/>
      <c r="EX101" s="414"/>
      <c r="EY101" s="414"/>
      <c r="EZ101" s="414"/>
      <c r="FA101" s="414"/>
      <c r="FB101" s="414"/>
      <c r="FC101" s="414"/>
      <c r="FD101" s="414"/>
      <c r="FE101" s="414"/>
      <c r="FF101" s="414"/>
      <c r="FG101" s="414"/>
      <c r="FH101" s="414"/>
      <c r="FI101" s="415"/>
      <c r="FJ101" s="415"/>
      <c r="FK101" s="415"/>
      <c r="FL101" s="387"/>
      <c r="FM101" s="387"/>
      <c r="FN101" s="387"/>
      <c r="FO101" s="387"/>
      <c r="FP101" s="387"/>
      <c r="FQ101" s="387"/>
      <c r="FR101" s="387"/>
      <c r="FS101" s="387"/>
      <c r="FT101" s="387"/>
      <c r="FU101" s="387"/>
      <c r="FV101" s="387"/>
      <c r="FW101" s="387"/>
      <c r="FX101" s="387"/>
      <c r="FY101" s="387"/>
      <c r="FZ101" s="387"/>
      <c r="GA101" s="387"/>
      <c r="GB101" s="387"/>
      <c r="GC101" s="387"/>
      <c r="GD101" s="387"/>
      <c r="GE101" s="387"/>
      <c r="GF101" s="387"/>
      <c r="GG101" s="387"/>
      <c r="GH101" s="387"/>
      <c r="GI101" s="387"/>
      <c r="GJ101" s="387"/>
      <c r="GK101" s="387"/>
      <c r="GL101" s="387"/>
      <c r="GM101" s="387"/>
      <c r="GN101" s="387"/>
      <c r="GO101" s="387"/>
      <c r="GP101" s="387"/>
      <c r="GQ101" s="387"/>
      <c r="GR101" s="387"/>
      <c r="GS101" s="387"/>
      <c r="GT101" s="387"/>
      <c r="GU101" s="387"/>
      <c r="GV101" s="387"/>
      <c r="GW101" s="387"/>
      <c r="GX101" s="387"/>
      <c r="GY101" s="387"/>
      <c r="GZ101" s="387"/>
      <c r="HA101" s="387"/>
      <c r="HB101" s="387"/>
      <c r="HC101" s="387"/>
      <c r="HD101" s="387"/>
      <c r="HE101" s="387"/>
      <c r="HF101" s="387"/>
      <c r="HG101" s="387"/>
      <c r="HH101" s="387"/>
      <c r="HI101" s="387"/>
      <c r="HJ101" s="387"/>
      <c r="HK101" s="387"/>
      <c r="HL101" s="387"/>
      <c r="HM101" s="387"/>
      <c r="HN101" s="387"/>
      <c r="HO101" s="387"/>
      <c r="HP101" s="387"/>
      <c r="HQ101" s="387"/>
      <c r="HR101" s="387"/>
      <c r="HS101" s="387"/>
      <c r="HT101" s="387"/>
      <c r="HU101" s="387"/>
      <c r="HV101" s="387"/>
      <c r="HW101" s="387"/>
      <c r="HX101" s="387"/>
      <c r="HY101" s="387"/>
      <c r="HZ101" s="387"/>
      <c r="IA101" s="387"/>
      <c r="IB101" s="387"/>
      <c r="IC101" s="387"/>
      <c r="ID101" s="387"/>
      <c r="IE101" s="327"/>
      <c r="IF101" s="327"/>
      <c r="IG101" s="327"/>
      <c r="IH101" s="327"/>
      <c r="II101" s="327"/>
      <c r="IJ101" s="327"/>
      <c r="IK101" s="327"/>
      <c r="IL101" s="327"/>
      <c r="IM101" s="327"/>
      <c r="IN101" s="327"/>
    </row>
    <row r="102" spans="1:248" s="321" customFormat="1" ht="21" customHeight="1" x14ac:dyDescent="0.25">
      <c r="A102" s="449"/>
      <c r="B102" s="449"/>
      <c r="C102" s="466"/>
      <c r="D102" s="449"/>
      <c r="E102" s="449"/>
      <c r="F102" s="452"/>
      <c r="G102" s="452"/>
      <c r="H102" s="451" t="s">
        <v>131</v>
      </c>
      <c r="I102" s="453" t="str">
        <f>BR95</f>
        <v/>
      </c>
      <c r="J102" s="452"/>
      <c r="K102" s="452"/>
      <c r="L102" s="454" t="s">
        <v>27</v>
      </c>
      <c r="M102" s="453" t="str">
        <f>AB85</f>
        <v/>
      </c>
      <c r="N102" s="455"/>
      <c r="O102" s="452"/>
      <c r="P102" s="451" t="s">
        <v>134</v>
      </c>
      <c r="Q102" s="456" t="str">
        <f>IFERROR((M102+I102)/2,"")</f>
        <v/>
      </c>
      <c r="R102" s="457"/>
      <c r="S102" s="449"/>
      <c r="T102" s="449"/>
      <c r="U102" s="466"/>
      <c r="V102" s="466"/>
      <c r="W102" s="466"/>
      <c r="X102" s="466"/>
      <c r="Y102" s="466"/>
      <c r="Z102" s="466"/>
      <c r="AA102" s="462"/>
      <c r="AB102" s="47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414"/>
      <c r="BU102" s="414"/>
      <c r="BV102" s="414"/>
      <c r="BW102" s="415"/>
      <c r="BX102" s="436"/>
      <c r="BY102" s="436"/>
      <c r="BZ102" s="436"/>
      <c r="CA102" s="436"/>
      <c r="CB102" s="436"/>
      <c r="CC102" s="436"/>
      <c r="CD102" s="436"/>
      <c r="CE102" s="436"/>
      <c r="CF102" s="436"/>
      <c r="CG102" s="436"/>
      <c r="CH102" s="436"/>
      <c r="CI102" s="436"/>
      <c r="CJ102" s="436"/>
      <c r="CK102" s="436"/>
      <c r="CL102" s="436"/>
      <c r="CM102" s="436"/>
      <c r="CN102" s="436"/>
      <c r="CO102" s="436"/>
      <c r="CP102" s="436"/>
      <c r="CQ102" s="436"/>
      <c r="CR102" s="436"/>
      <c r="CS102" s="436"/>
      <c r="CT102" s="436"/>
      <c r="CU102" s="414"/>
      <c r="CV102" s="414"/>
      <c r="CW102" s="415"/>
      <c r="CX102" s="415"/>
      <c r="CY102" s="415"/>
      <c r="CZ102" s="415"/>
      <c r="DA102" s="415"/>
      <c r="DB102" s="415"/>
      <c r="DC102" s="415"/>
      <c r="DD102" s="415"/>
      <c r="DE102" s="415"/>
      <c r="DF102" s="415"/>
      <c r="DG102" s="415"/>
      <c r="DH102" s="415"/>
      <c r="DI102" s="415"/>
      <c r="DJ102" s="414"/>
      <c r="DK102" s="414"/>
      <c r="DL102" s="414"/>
      <c r="DM102" s="414"/>
      <c r="DN102" s="414"/>
      <c r="DO102" s="414"/>
      <c r="DP102" s="414"/>
      <c r="DQ102" s="414"/>
      <c r="DR102" s="414"/>
      <c r="DS102" s="414"/>
      <c r="DT102" s="414"/>
      <c r="DU102" s="414"/>
      <c r="DV102" s="415"/>
      <c r="DW102" s="415"/>
      <c r="DX102" s="415"/>
      <c r="DY102" s="415"/>
      <c r="DZ102" s="415"/>
      <c r="EA102" s="415"/>
      <c r="EB102" s="415"/>
      <c r="EC102" s="415"/>
      <c r="ED102" s="415"/>
      <c r="EE102" s="415"/>
      <c r="EF102" s="415"/>
      <c r="EG102" s="415"/>
      <c r="EH102" s="415"/>
      <c r="EI102" s="415"/>
      <c r="EJ102" s="415"/>
      <c r="EK102" s="414"/>
      <c r="EL102" s="414"/>
      <c r="EM102" s="414"/>
      <c r="EN102" s="414"/>
      <c r="EO102" s="414"/>
      <c r="EP102" s="414"/>
      <c r="EQ102" s="414"/>
      <c r="ER102" s="414"/>
      <c r="ES102" s="414"/>
      <c r="ET102" s="414"/>
      <c r="EU102" s="414"/>
      <c r="EV102" s="414"/>
      <c r="EW102" s="414"/>
      <c r="EX102" s="414"/>
      <c r="EY102" s="414"/>
      <c r="EZ102" s="414"/>
      <c r="FA102" s="414"/>
      <c r="FB102" s="414"/>
      <c r="FC102" s="414"/>
      <c r="FD102" s="414"/>
      <c r="FE102" s="414"/>
      <c r="FF102" s="414"/>
      <c r="FG102" s="414"/>
      <c r="FH102" s="414"/>
      <c r="FI102" s="415"/>
      <c r="FJ102" s="415"/>
      <c r="FK102" s="415"/>
      <c r="FL102" s="387"/>
      <c r="FM102" s="387"/>
      <c r="FN102" s="387"/>
      <c r="FO102" s="387"/>
      <c r="FP102" s="387"/>
      <c r="FQ102" s="387"/>
      <c r="FR102" s="387"/>
      <c r="FS102" s="387"/>
      <c r="FT102" s="387"/>
      <c r="FU102" s="387"/>
      <c r="FV102" s="387"/>
      <c r="FW102" s="387"/>
      <c r="FX102" s="387"/>
      <c r="FY102" s="387"/>
      <c r="FZ102" s="387"/>
      <c r="GA102" s="387"/>
      <c r="GB102" s="387"/>
      <c r="GC102" s="387"/>
      <c r="GD102" s="387"/>
      <c r="GE102" s="387"/>
      <c r="GF102" s="387"/>
      <c r="GG102" s="387"/>
      <c r="GH102" s="387"/>
      <c r="GI102" s="387"/>
      <c r="GJ102" s="387"/>
      <c r="GK102" s="387"/>
      <c r="GL102" s="387"/>
      <c r="GM102" s="387"/>
      <c r="GN102" s="387"/>
      <c r="GO102" s="387"/>
      <c r="GP102" s="387"/>
      <c r="GQ102" s="387"/>
      <c r="GR102" s="387"/>
      <c r="GS102" s="387"/>
      <c r="GT102" s="387"/>
      <c r="GU102" s="387"/>
      <c r="GV102" s="387"/>
      <c r="GW102" s="387"/>
      <c r="GX102" s="387"/>
      <c r="GY102" s="387"/>
      <c r="GZ102" s="387"/>
      <c r="HA102" s="387"/>
      <c r="HB102" s="387"/>
      <c r="HC102" s="387"/>
      <c r="HD102" s="387"/>
      <c r="HE102" s="387"/>
      <c r="HF102" s="387"/>
      <c r="HG102" s="387"/>
      <c r="HH102" s="387"/>
      <c r="HI102" s="387"/>
      <c r="HJ102" s="387"/>
      <c r="HK102" s="387"/>
      <c r="HL102" s="387"/>
      <c r="HM102" s="387"/>
      <c r="HN102" s="387"/>
      <c r="HO102" s="387"/>
      <c r="HP102" s="387"/>
      <c r="HQ102" s="387"/>
      <c r="HR102" s="387"/>
      <c r="HS102" s="387"/>
      <c r="HT102" s="387"/>
      <c r="HU102" s="387"/>
      <c r="HV102" s="387"/>
      <c r="HW102" s="387"/>
      <c r="HX102" s="387"/>
      <c r="HY102" s="387"/>
      <c r="HZ102" s="387"/>
      <c r="IA102" s="387"/>
      <c r="IB102" s="387"/>
      <c r="IC102" s="387"/>
      <c r="ID102" s="387"/>
      <c r="IE102" s="327"/>
      <c r="IF102" s="327"/>
      <c r="IG102" s="327"/>
      <c r="IH102" s="327"/>
      <c r="II102" s="327"/>
      <c r="IJ102" s="327"/>
      <c r="IK102" s="327"/>
      <c r="IL102" s="327"/>
      <c r="IM102" s="327"/>
      <c r="IN102" s="327"/>
    </row>
    <row r="103" spans="1:248" s="321" customFormat="1" ht="21" customHeight="1" x14ac:dyDescent="0.25">
      <c r="A103" s="449"/>
      <c r="C103" s="323"/>
      <c r="D103" s="449"/>
      <c r="E103" s="449"/>
      <c r="F103" s="452"/>
      <c r="G103" s="452"/>
      <c r="H103" s="451" t="s">
        <v>132</v>
      </c>
      <c r="I103" s="453" t="str">
        <f>FJ92</f>
        <v/>
      </c>
      <c r="J103" s="455"/>
      <c r="K103" s="452"/>
      <c r="L103" s="451" t="s">
        <v>215</v>
      </c>
      <c r="M103" s="453" t="str">
        <f>FJ91</f>
        <v/>
      </c>
      <c r="N103" s="455"/>
      <c r="O103" s="452"/>
      <c r="P103" s="451" t="s">
        <v>133</v>
      </c>
      <c r="Q103" s="458">
        <f>EV23</f>
        <v>9.9999999999999995E-7</v>
      </c>
      <c r="R103" s="450"/>
      <c r="S103" s="449"/>
      <c r="T103" s="464"/>
      <c r="U103" s="449"/>
      <c r="V103" s="323"/>
      <c r="W103" s="323"/>
      <c r="X103" s="323"/>
      <c r="Y103" s="323"/>
      <c r="Z103" s="323"/>
      <c r="AA103" s="328"/>
      <c r="AB103" s="328"/>
      <c r="AC103" s="386"/>
      <c r="AD103" s="405"/>
      <c r="AE103" s="414"/>
      <c r="AF103" s="414"/>
      <c r="AG103" s="414"/>
      <c r="AH103" s="414"/>
      <c r="AI103" s="414"/>
      <c r="AJ103" s="414"/>
      <c r="AK103" s="414"/>
      <c r="AL103" s="414"/>
      <c r="AM103" s="414"/>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414"/>
      <c r="BU103" s="414"/>
      <c r="BV103" s="414"/>
      <c r="BW103" s="415"/>
      <c r="BX103" s="436"/>
      <c r="BY103" s="436"/>
      <c r="BZ103" s="436"/>
      <c r="CA103" s="436"/>
      <c r="CB103" s="436"/>
      <c r="CC103" s="436"/>
      <c r="CD103" s="436"/>
      <c r="CE103" s="436"/>
      <c r="CF103" s="436"/>
      <c r="CG103" s="436"/>
      <c r="CH103" s="436"/>
      <c r="CI103" s="436"/>
      <c r="CJ103" s="436"/>
      <c r="CK103" s="436"/>
      <c r="CL103" s="436"/>
      <c r="CM103" s="436"/>
      <c r="CN103" s="436"/>
      <c r="CO103" s="436"/>
      <c r="CP103" s="436"/>
      <c r="CQ103" s="436"/>
      <c r="CR103" s="436"/>
      <c r="CS103" s="436"/>
      <c r="CT103" s="436"/>
      <c r="CU103" s="414"/>
      <c r="CV103" s="414"/>
      <c r="CW103" s="415"/>
      <c r="CX103" s="415"/>
      <c r="CY103" s="415"/>
      <c r="CZ103" s="415"/>
      <c r="DA103" s="415"/>
      <c r="DB103" s="415"/>
      <c r="DC103" s="415"/>
      <c r="DD103" s="415"/>
      <c r="DE103" s="415"/>
      <c r="DF103" s="415"/>
      <c r="DG103" s="415"/>
      <c r="DH103" s="415"/>
      <c r="DI103" s="415"/>
      <c r="DJ103" s="414"/>
      <c r="DK103" s="414"/>
      <c r="DL103" s="414"/>
      <c r="DM103" s="414"/>
      <c r="DN103" s="414"/>
      <c r="DO103" s="414"/>
      <c r="DP103" s="414"/>
      <c r="DQ103" s="414"/>
      <c r="DR103" s="414"/>
      <c r="DS103" s="414"/>
      <c r="DT103" s="414"/>
      <c r="DU103" s="414"/>
      <c r="DV103" s="415"/>
      <c r="DW103" s="415"/>
      <c r="DX103" s="415"/>
      <c r="DY103" s="415"/>
      <c r="DZ103" s="415"/>
      <c r="EA103" s="415"/>
      <c r="EB103" s="415"/>
      <c r="EC103" s="415"/>
      <c r="ED103" s="415"/>
      <c r="EE103" s="415"/>
      <c r="EF103" s="415"/>
      <c r="EG103" s="415"/>
      <c r="EH103" s="415"/>
      <c r="EI103" s="415"/>
      <c r="EJ103" s="415"/>
      <c r="EK103" s="414"/>
      <c r="EL103" s="414"/>
      <c r="EM103" s="414"/>
      <c r="EN103" s="414"/>
      <c r="EO103" s="414"/>
      <c r="EP103" s="414"/>
      <c r="EQ103" s="414"/>
      <c r="ER103" s="414"/>
      <c r="ES103" s="414"/>
      <c r="ET103" s="414"/>
      <c r="EU103" s="414"/>
      <c r="EV103" s="414"/>
      <c r="EW103" s="414"/>
      <c r="EX103" s="414"/>
      <c r="EY103" s="414"/>
      <c r="EZ103" s="414"/>
      <c r="FA103" s="414"/>
      <c r="FB103" s="414"/>
      <c r="FC103" s="414"/>
      <c r="FD103" s="414"/>
      <c r="FE103" s="414"/>
      <c r="FF103" s="414"/>
      <c r="FG103" s="414"/>
      <c r="FH103" s="414"/>
      <c r="FI103" s="415"/>
      <c r="FJ103" s="415"/>
      <c r="FK103" s="415"/>
      <c r="FL103" s="387"/>
      <c r="FM103" s="387"/>
      <c r="FN103" s="387"/>
      <c r="FO103" s="387"/>
      <c r="FP103" s="387"/>
      <c r="FQ103" s="387"/>
      <c r="FR103" s="387"/>
      <c r="FS103" s="387"/>
      <c r="FT103" s="387"/>
      <c r="FU103" s="387"/>
      <c r="FV103" s="387"/>
      <c r="FW103" s="387"/>
      <c r="FX103" s="387"/>
      <c r="FY103" s="387"/>
      <c r="FZ103" s="387"/>
      <c r="GA103" s="387"/>
      <c r="GB103" s="387"/>
      <c r="GC103" s="387"/>
      <c r="GD103" s="387"/>
      <c r="GE103" s="387"/>
      <c r="GF103" s="387"/>
      <c r="GG103" s="387"/>
      <c r="GH103" s="387"/>
      <c r="GI103" s="387"/>
      <c r="GJ103" s="387"/>
      <c r="GK103" s="387"/>
      <c r="GL103" s="387"/>
      <c r="GM103" s="387"/>
      <c r="GN103" s="387"/>
      <c r="GO103" s="387"/>
      <c r="GP103" s="387"/>
      <c r="GQ103" s="387"/>
      <c r="GR103" s="387"/>
      <c r="GS103" s="387"/>
      <c r="GT103" s="387"/>
      <c r="GU103" s="387"/>
      <c r="GV103" s="387"/>
      <c r="GW103" s="387"/>
      <c r="GX103" s="387"/>
      <c r="GY103" s="387"/>
      <c r="GZ103" s="387"/>
      <c r="HA103" s="387"/>
      <c r="HB103" s="387"/>
      <c r="HC103" s="387"/>
      <c r="HD103" s="387"/>
      <c r="HE103" s="387"/>
      <c r="HF103" s="387"/>
      <c r="HG103" s="387"/>
      <c r="HH103" s="387"/>
      <c r="HI103" s="387"/>
      <c r="HJ103" s="387"/>
      <c r="HK103" s="387"/>
      <c r="HL103" s="387"/>
      <c r="HM103" s="387"/>
      <c r="HN103" s="387"/>
      <c r="HO103" s="387"/>
      <c r="HP103" s="387"/>
      <c r="HQ103" s="387"/>
      <c r="HR103" s="387"/>
      <c r="HS103" s="387"/>
      <c r="HT103" s="387"/>
      <c r="HU103" s="387"/>
      <c r="HV103" s="387"/>
      <c r="HW103" s="387"/>
      <c r="HX103" s="387"/>
      <c r="HY103" s="387"/>
      <c r="HZ103" s="387"/>
      <c r="IA103" s="387"/>
      <c r="IB103" s="387"/>
      <c r="IC103" s="387"/>
      <c r="ID103" s="387"/>
      <c r="IE103" s="327"/>
      <c r="IF103" s="327"/>
      <c r="IG103" s="327"/>
      <c r="IH103" s="327"/>
      <c r="II103" s="327"/>
      <c r="IJ103" s="327"/>
      <c r="IK103" s="327"/>
      <c r="IL103" s="327"/>
      <c r="IM103" s="327"/>
      <c r="IN103" s="327"/>
    </row>
    <row r="104" spans="1:248" s="321" customFormat="1" ht="21" customHeight="1" x14ac:dyDescent="0.25">
      <c r="A104" s="449"/>
      <c r="B104" s="362"/>
      <c r="C104" s="410"/>
      <c r="D104" s="449"/>
      <c r="E104" s="449"/>
      <c r="F104" s="452"/>
      <c r="G104" s="459"/>
      <c r="H104" s="452"/>
      <c r="I104" s="452"/>
      <c r="J104" s="452"/>
      <c r="K104" s="452"/>
      <c r="L104" s="452"/>
      <c r="M104" s="451" t="s">
        <v>135</v>
      </c>
      <c r="N104" s="452">
        <f>DX18</f>
        <v>365</v>
      </c>
      <c r="O104" s="450"/>
      <c r="P104" s="460" t="s">
        <v>220</v>
      </c>
      <c r="Q104" s="458">
        <f>'JSM Jahresdauerlinie'!E26</f>
        <v>9.9999999999999995E-7</v>
      </c>
      <c r="R104" s="461" t="s">
        <v>213</v>
      </c>
      <c r="S104" s="449"/>
      <c r="T104" s="449" t="s">
        <v>287</v>
      </c>
      <c r="U104" s="449"/>
      <c r="V104" s="410"/>
      <c r="W104" s="410"/>
      <c r="X104" s="410"/>
      <c r="Y104" s="410"/>
      <c r="Z104" s="410"/>
      <c r="AA104" s="402"/>
      <c r="AB104" s="402"/>
      <c r="AC104" s="407"/>
      <c r="AD104" s="406"/>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414"/>
      <c r="BU104" s="414"/>
      <c r="BV104" s="414"/>
      <c r="BW104" s="415"/>
      <c r="BX104" s="436"/>
      <c r="BY104" s="436"/>
      <c r="BZ104" s="436"/>
      <c r="CA104" s="436"/>
      <c r="CB104" s="436"/>
      <c r="CC104" s="436"/>
      <c r="CD104" s="436"/>
      <c r="CE104" s="436"/>
      <c r="CF104" s="436"/>
      <c r="CG104" s="436"/>
      <c r="CH104" s="436"/>
      <c r="CI104" s="436"/>
      <c r="CJ104" s="436"/>
      <c r="CK104" s="436"/>
      <c r="CL104" s="436"/>
      <c r="CM104" s="436"/>
      <c r="CN104" s="436"/>
      <c r="CO104" s="436"/>
      <c r="CP104" s="436"/>
      <c r="CQ104" s="436"/>
      <c r="CR104" s="436"/>
      <c r="CS104" s="436"/>
      <c r="CT104" s="436"/>
      <c r="CU104" s="414"/>
      <c r="CV104" s="414"/>
      <c r="CW104" s="415"/>
      <c r="CX104" s="415"/>
      <c r="CY104" s="415"/>
      <c r="CZ104" s="415"/>
      <c r="DA104" s="415"/>
      <c r="DB104" s="415"/>
      <c r="DC104" s="415"/>
      <c r="DD104" s="415"/>
      <c r="DE104" s="415"/>
      <c r="DF104" s="415"/>
      <c r="DG104" s="415"/>
      <c r="DH104" s="415"/>
      <c r="DI104" s="415"/>
      <c r="DJ104" s="414"/>
      <c r="DK104" s="414"/>
      <c r="DL104" s="414"/>
      <c r="DM104" s="414"/>
      <c r="DN104" s="414"/>
      <c r="DO104" s="414"/>
      <c r="DP104" s="414"/>
      <c r="DQ104" s="414"/>
      <c r="DR104" s="414"/>
      <c r="DS104" s="414"/>
      <c r="DT104" s="414"/>
      <c r="DU104" s="414"/>
      <c r="DV104" s="415"/>
      <c r="DW104" s="415"/>
      <c r="DX104" s="415"/>
      <c r="DY104" s="415"/>
      <c r="DZ104" s="415"/>
      <c r="EA104" s="415"/>
      <c r="EB104" s="415"/>
      <c r="EC104" s="415"/>
      <c r="ED104" s="415"/>
      <c r="EE104" s="415"/>
      <c r="EF104" s="415"/>
      <c r="EG104" s="415"/>
      <c r="EH104" s="415"/>
      <c r="EI104" s="415"/>
      <c r="EJ104" s="415"/>
      <c r="EK104" s="414"/>
      <c r="EL104" s="414"/>
      <c r="EM104" s="414"/>
      <c r="EN104" s="414"/>
      <c r="EO104" s="414"/>
      <c r="EP104" s="414"/>
      <c r="EQ104" s="414"/>
      <c r="ER104" s="414"/>
      <c r="ES104" s="414"/>
      <c r="ET104" s="414"/>
      <c r="EU104" s="414"/>
      <c r="EV104" s="414"/>
      <c r="EW104" s="414"/>
      <c r="EX104" s="414"/>
      <c r="EY104" s="414"/>
      <c r="EZ104" s="414"/>
      <c r="FA104" s="414"/>
      <c r="FB104" s="414"/>
      <c r="FC104" s="414"/>
      <c r="FD104" s="414"/>
      <c r="FE104" s="414"/>
      <c r="FF104" s="414"/>
      <c r="FG104" s="414"/>
      <c r="FH104" s="414"/>
      <c r="FI104" s="415"/>
      <c r="FJ104" s="415"/>
      <c r="FK104" s="415"/>
      <c r="FL104" s="387"/>
      <c r="FM104" s="387"/>
      <c r="FN104" s="387"/>
      <c r="FO104" s="387"/>
      <c r="FP104" s="387"/>
      <c r="FQ104" s="387"/>
      <c r="FR104" s="387"/>
      <c r="FS104" s="387"/>
      <c r="FT104" s="387"/>
      <c r="FU104" s="387"/>
      <c r="FV104" s="387"/>
      <c r="FW104" s="387"/>
      <c r="FX104" s="387"/>
      <c r="FY104" s="387"/>
      <c r="FZ104" s="387"/>
      <c r="GA104" s="387"/>
      <c r="GB104" s="387"/>
      <c r="GC104" s="387"/>
      <c r="GD104" s="387"/>
      <c r="GE104" s="387"/>
      <c r="GF104" s="387"/>
      <c r="GG104" s="387"/>
      <c r="GH104" s="387"/>
      <c r="GI104" s="387"/>
      <c r="GJ104" s="387"/>
      <c r="GK104" s="387"/>
      <c r="GL104" s="387"/>
      <c r="GM104" s="387"/>
      <c r="GN104" s="387"/>
      <c r="GO104" s="387"/>
      <c r="GP104" s="387"/>
      <c r="GQ104" s="387"/>
      <c r="GR104" s="387"/>
      <c r="GS104" s="387"/>
      <c r="GT104" s="387"/>
      <c r="GU104" s="387"/>
      <c r="GV104" s="387"/>
      <c r="GW104" s="387"/>
      <c r="GX104" s="387"/>
      <c r="GY104" s="387"/>
      <c r="GZ104" s="387"/>
      <c r="HA104" s="387"/>
      <c r="HB104" s="387"/>
      <c r="HC104" s="387"/>
      <c r="HD104" s="387"/>
      <c r="HE104" s="387"/>
      <c r="HF104" s="387"/>
      <c r="HG104" s="387"/>
      <c r="HH104" s="387"/>
      <c r="HI104" s="387"/>
      <c r="HJ104" s="387"/>
      <c r="HK104" s="387"/>
      <c r="HL104" s="387"/>
      <c r="HM104" s="387"/>
      <c r="HN104" s="387"/>
      <c r="HO104" s="387"/>
      <c r="HP104" s="387"/>
      <c r="HQ104" s="387"/>
      <c r="HR104" s="387"/>
      <c r="HS104" s="387"/>
      <c r="HT104" s="387"/>
      <c r="HU104" s="387"/>
      <c r="HV104" s="387"/>
      <c r="HW104" s="387"/>
      <c r="HX104" s="387"/>
      <c r="HY104" s="387"/>
      <c r="HZ104" s="387"/>
      <c r="IA104" s="387"/>
      <c r="IB104" s="387"/>
      <c r="IC104" s="387"/>
      <c r="ID104" s="387"/>
      <c r="IE104" s="327"/>
      <c r="IF104" s="327"/>
      <c r="IG104" s="327"/>
      <c r="IH104" s="327"/>
      <c r="II104" s="327"/>
      <c r="IJ104" s="327"/>
      <c r="IK104" s="327"/>
      <c r="IL104" s="327"/>
      <c r="IM104" s="327"/>
      <c r="IN104" s="327"/>
    </row>
    <row r="105" spans="1:248" s="321" customFormat="1" ht="21" customHeight="1" x14ac:dyDescent="0.2">
      <c r="A105" s="449"/>
      <c r="C105" s="323"/>
      <c r="U105" s="464"/>
      <c r="V105" s="323"/>
      <c r="W105" s="323"/>
      <c r="X105" s="323"/>
      <c r="Y105" s="323"/>
      <c r="Z105" s="323"/>
      <c r="AA105" s="323"/>
      <c r="AB105" s="323"/>
      <c r="AC105" s="386"/>
      <c r="AD105" s="406"/>
      <c r="AE105" s="414"/>
      <c r="AF105" s="414"/>
      <c r="AG105" s="414"/>
      <c r="AH105" s="414"/>
      <c r="AI105" s="414"/>
      <c r="AJ105" s="414"/>
      <c r="AK105" s="414"/>
      <c r="AL105" s="414"/>
      <c r="AM105" s="414"/>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5"/>
      <c r="BX105" s="436"/>
      <c r="BY105" s="436"/>
      <c r="BZ105" s="436"/>
      <c r="CA105" s="436"/>
      <c r="CB105" s="436"/>
      <c r="CC105" s="436"/>
      <c r="CD105" s="436"/>
      <c r="CE105" s="436"/>
      <c r="CF105" s="436"/>
      <c r="CG105" s="436"/>
      <c r="CH105" s="436"/>
      <c r="CI105" s="436"/>
      <c r="CJ105" s="436"/>
      <c r="CK105" s="436"/>
      <c r="CL105" s="436"/>
      <c r="CM105" s="436"/>
      <c r="CN105" s="436"/>
      <c r="CO105" s="436"/>
      <c r="CP105" s="436"/>
      <c r="CQ105" s="436"/>
      <c r="CR105" s="436"/>
      <c r="CS105" s="436"/>
      <c r="CT105" s="436"/>
      <c r="CU105" s="414"/>
      <c r="CV105" s="414"/>
      <c r="CW105" s="415"/>
      <c r="CX105" s="415"/>
      <c r="CY105" s="415"/>
      <c r="CZ105" s="415"/>
      <c r="DA105" s="415"/>
      <c r="DB105" s="415"/>
      <c r="DC105" s="415"/>
      <c r="DD105" s="415"/>
      <c r="DE105" s="415"/>
      <c r="DF105" s="415"/>
      <c r="DG105" s="415"/>
      <c r="DH105" s="415"/>
      <c r="DI105" s="415"/>
      <c r="DJ105" s="414"/>
      <c r="DK105" s="414"/>
      <c r="DL105" s="414"/>
      <c r="DM105" s="414"/>
      <c r="DN105" s="414"/>
      <c r="DO105" s="414"/>
      <c r="DP105" s="414"/>
      <c r="DQ105" s="414"/>
      <c r="DR105" s="414"/>
      <c r="DS105" s="414"/>
      <c r="DT105" s="414"/>
      <c r="DU105" s="414"/>
      <c r="DV105" s="415"/>
      <c r="DW105" s="415"/>
      <c r="DX105" s="415"/>
      <c r="DY105" s="415"/>
      <c r="DZ105" s="415"/>
      <c r="EA105" s="415"/>
      <c r="EB105" s="415"/>
      <c r="EC105" s="415"/>
      <c r="ED105" s="415"/>
      <c r="EE105" s="415"/>
      <c r="EF105" s="415"/>
      <c r="EG105" s="415"/>
      <c r="EH105" s="415"/>
      <c r="EI105" s="415"/>
      <c r="EJ105" s="415"/>
      <c r="EK105" s="414"/>
      <c r="EL105" s="414"/>
      <c r="EM105" s="414"/>
      <c r="EN105" s="414"/>
      <c r="EO105" s="414"/>
      <c r="EP105" s="414"/>
      <c r="EQ105" s="414"/>
      <c r="ER105" s="414"/>
      <c r="ES105" s="414"/>
      <c r="ET105" s="414"/>
      <c r="EU105" s="414"/>
      <c r="EV105" s="414"/>
      <c r="EW105" s="414"/>
      <c r="EX105" s="414"/>
      <c r="EY105" s="414"/>
      <c r="EZ105" s="414"/>
      <c r="FA105" s="414"/>
      <c r="FB105" s="414"/>
      <c r="FC105" s="414"/>
      <c r="FD105" s="414"/>
      <c r="FE105" s="414"/>
      <c r="FF105" s="414"/>
      <c r="FG105" s="414"/>
      <c r="FH105" s="414"/>
      <c r="FI105" s="415"/>
      <c r="FJ105" s="415"/>
      <c r="FK105" s="415"/>
      <c r="FL105" s="387"/>
      <c r="FM105" s="387"/>
      <c r="FN105" s="387"/>
      <c r="FO105" s="387"/>
      <c r="FP105" s="387"/>
      <c r="FQ105" s="387"/>
      <c r="FR105" s="387"/>
      <c r="FS105" s="387"/>
      <c r="FT105" s="387"/>
      <c r="FU105" s="387"/>
      <c r="FV105" s="387"/>
      <c r="FW105" s="387"/>
      <c r="FX105" s="387"/>
      <c r="FY105" s="387"/>
      <c r="FZ105" s="387"/>
      <c r="GA105" s="387"/>
      <c r="GB105" s="387"/>
      <c r="GC105" s="387"/>
      <c r="GD105" s="387"/>
      <c r="GE105" s="387"/>
      <c r="GF105" s="387"/>
      <c r="GG105" s="387"/>
      <c r="GH105" s="387"/>
      <c r="GI105" s="387"/>
      <c r="GJ105" s="387"/>
      <c r="GK105" s="387"/>
      <c r="GL105" s="387"/>
      <c r="GM105" s="387"/>
      <c r="GN105" s="387"/>
      <c r="GO105" s="387"/>
      <c r="GP105" s="387"/>
      <c r="GQ105" s="387"/>
      <c r="GR105" s="387"/>
      <c r="GS105" s="387"/>
      <c r="GT105" s="387"/>
      <c r="GU105" s="387"/>
      <c r="GV105" s="387"/>
      <c r="GW105" s="387"/>
      <c r="GX105" s="387"/>
      <c r="GY105" s="387"/>
      <c r="GZ105" s="387"/>
      <c r="HA105" s="387"/>
      <c r="HB105" s="387"/>
      <c r="HC105" s="387"/>
      <c r="HD105" s="387"/>
      <c r="HE105" s="387"/>
      <c r="HF105" s="387"/>
      <c r="HG105" s="387"/>
      <c r="HH105" s="387"/>
      <c r="HI105" s="387"/>
      <c r="HJ105" s="387"/>
      <c r="HK105" s="387"/>
      <c r="HL105" s="387"/>
      <c r="HM105" s="387"/>
      <c r="HN105" s="387"/>
      <c r="HO105" s="387"/>
      <c r="HP105" s="387"/>
      <c r="HQ105" s="387"/>
      <c r="HR105" s="387"/>
      <c r="HS105" s="387"/>
      <c r="HT105" s="387"/>
      <c r="HU105" s="387"/>
      <c r="HV105" s="387"/>
      <c r="HW105" s="387"/>
      <c r="HX105" s="387"/>
      <c r="HY105" s="387"/>
      <c r="HZ105" s="387"/>
      <c r="IA105" s="387"/>
      <c r="IB105" s="387"/>
      <c r="IC105" s="387"/>
      <c r="ID105" s="387"/>
      <c r="IE105" s="327"/>
      <c r="IF105" s="327"/>
      <c r="IG105" s="327"/>
      <c r="IH105" s="327"/>
      <c r="II105" s="327"/>
      <c r="IJ105" s="327"/>
      <c r="IK105" s="327"/>
      <c r="IL105" s="327"/>
      <c r="IM105" s="327"/>
      <c r="IN105" s="327"/>
    </row>
    <row r="106" spans="1:248" s="321" customFormat="1" ht="21" customHeight="1" x14ac:dyDescent="0.2">
      <c r="A106" s="449"/>
      <c r="C106" s="323"/>
      <c r="U106" s="464"/>
      <c r="V106" s="323"/>
      <c r="W106" s="323"/>
      <c r="X106" s="323"/>
      <c r="Y106" s="323"/>
      <c r="Z106" s="323"/>
      <c r="AA106" s="323"/>
      <c r="AB106" s="323"/>
      <c r="AD106" s="406"/>
      <c r="AE106" s="414"/>
      <c r="AF106" s="414"/>
      <c r="AG106" s="414"/>
      <c r="AH106" s="414"/>
      <c r="AI106" s="414"/>
      <c r="AJ106" s="414"/>
      <c r="AK106" s="414"/>
      <c r="AL106" s="414"/>
      <c r="AM106" s="414"/>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36"/>
      <c r="BX106" s="436"/>
      <c r="BY106" s="436"/>
      <c r="BZ106" s="436"/>
      <c r="CA106" s="436"/>
      <c r="CB106" s="436"/>
      <c r="CC106" s="436"/>
      <c r="CD106" s="436"/>
      <c r="CE106" s="436"/>
      <c r="CF106" s="436"/>
      <c r="CG106" s="436"/>
      <c r="CH106" s="436"/>
      <c r="CI106" s="436"/>
      <c r="CJ106" s="436"/>
      <c r="CK106" s="436"/>
      <c r="CL106" s="436"/>
      <c r="CM106" s="436"/>
      <c r="CN106" s="436"/>
      <c r="CO106" s="436"/>
      <c r="CP106" s="436"/>
      <c r="CQ106" s="436"/>
      <c r="CR106" s="436"/>
      <c r="CS106" s="436"/>
      <c r="CT106" s="436"/>
      <c r="CU106" s="414"/>
      <c r="CV106" s="414"/>
      <c r="CW106" s="415"/>
      <c r="CX106" s="415"/>
      <c r="CY106" s="415"/>
      <c r="CZ106" s="415"/>
      <c r="DA106" s="415"/>
      <c r="DB106" s="415"/>
      <c r="DC106" s="415"/>
      <c r="DD106" s="415"/>
      <c r="DE106" s="415"/>
      <c r="DF106" s="415"/>
      <c r="DG106" s="415"/>
      <c r="DH106" s="415"/>
      <c r="DI106" s="415"/>
      <c r="DJ106" s="414"/>
      <c r="DK106" s="414"/>
      <c r="DL106" s="414"/>
      <c r="DM106" s="414"/>
      <c r="DN106" s="414"/>
      <c r="DO106" s="414"/>
      <c r="DP106" s="414"/>
      <c r="DQ106" s="414"/>
      <c r="DR106" s="414"/>
      <c r="DS106" s="414"/>
      <c r="DT106" s="414"/>
      <c r="DU106" s="414"/>
      <c r="DV106" s="415"/>
      <c r="DW106" s="415"/>
      <c r="DX106" s="415"/>
      <c r="DY106" s="415"/>
      <c r="DZ106" s="415"/>
      <c r="EA106" s="415"/>
      <c r="EB106" s="415"/>
      <c r="EC106" s="415"/>
      <c r="ED106" s="415"/>
      <c r="EE106" s="415"/>
      <c r="EF106" s="415"/>
      <c r="EG106" s="415"/>
      <c r="EH106" s="415"/>
      <c r="EI106" s="415"/>
      <c r="EJ106" s="415"/>
      <c r="EK106" s="414"/>
      <c r="EL106" s="414"/>
      <c r="EM106" s="414"/>
      <c r="EN106" s="414"/>
      <c r="EO106" s="414"/>
      <c r="EP106" s="414"/>
      <c r="EQ106" s="414"/>
      <c r="ER106" s="414"/>
      <c r="ES106" s="414"/>
      <c r="ET106" s="414"/>
      <c r="EU106" s="414"/>
      <c r="EV106" s="414"/>
      <c r="EW106" s="414"/>
      <c r="EX106" s="414"/>
      <c r="EY106" s="414"/>
      <c r="EZ106" s="414"/>
      <c r="FA106" s="414"/>
      <c r="FB106" s="414"/>
      <c r="FC106" s="414"/>
      <c r="FD106" s="414"/>
      <c r="FE106" s="414"/>
      <c r="FF106" s="414"/>
      <c r="FG106" s="414"/>
      <c r="FH106" s="414"/>
      <c r="FI106" s="415"/>
      <c r="FJ106" s="415"/>
      <c r="FK106" s="415"/>
      <c r="FL106" s="387"/>
      <c r="FM106" s="387"/>
      <c r="FN106" s="387"/>
      <c r="FO106" s="387"/>
      <c r="FP106" s="387"/>
      <c r="FQ106" s="387"/>
      <c r="FR106" s="387"/>
      <c r="FS106" s="387"/>
      <c r="FT106" s="387"/>
      <c r="FU106" s="387"/>
      <c r="FV106" s="387"/>
      <c r="FW106" s="387"/>
      <c r="FX106" s="387"/>
      <c r="FY106" s="387"/>
      <c r="FZ106" s="387"/>
      <c r="GA106" s="387"/>
      <c r="GB106" s="387"/>
      <c r="GC106" s="387"/>
      <c r="GD106" s="387"/>
      <c r="GE106" s="387"/>
      <c r="GF106" s="387"/>
      <c r="GG106" s="387"/>
      <c r="GH106" s="387"/>
      <c r="GI106" s="387"/>
      <c r="GJ106" s="387"/>
      <c r="GK106" s="387"/>
      <c r="GL106" s="387"/>
      <c r="GM106" s="387"/>
      <c r="GN106" s="387"/>
      <c r="GO106" s="387"/>
      <c r="GP106" s="387"/>
      <c r="GQ106" s="387"/>
      <c r="GR106" s="387"/>
      <c r="GS106" s="387"/>
      <c r="GT106" s="387"/>
      <c r="GU106" s="387"/>
      <c r="GV106" s="387"/>
      <c r="GW106" s="387"/>
      <c r="GX106" s="387"/>
      <c r="GY106" s="387"/>
      <c r="GZ106" s="387"/>
      <c r="HA106" s="387"/>
      <c r="HB106" s="387"/>
      <c r="HC106" s="387"/>
      <c r="HD106" s="387"/>
      <c r="HE106" s="387"/>
      <c r="HF106" s="387"/>
      <c r="HG106" s="387"/>
      <c r="HH106" s="387"/>
      <c r="HI106" s="387"/>
      <c r="HJ106" s="387"/>
      <c r="HK106" s="387"/>
      <c r="HL106" s="387"/>
      <c r="HM106" s="387"/>
      <c r="HN106" s="387"/>
      <c r="HO106" s="387"/>
      <c r="HP106" s="387"/>
      <c r="HQ106" s="387"/>
      <c r="HR106" s="387"/>
      <c r="HS106" s="387"/>
      <c r="HT106" s="387"/>
      <c r="HU106" s="387"/>
      <c r="HV106" s="387"/>
      <c r="HW106" s="387"/>
      <c r="HX106" s="387"/>
      <c r="HY106" s="387"/>
      <c r="HZ106" s="387"/>
      <c r="IA106" s="387"/>
      <c r="IB106" s="387"/>
      <c r="IC106" s="387"/>
      <c r="ID106" s="387"/>
      <c r="IE106" s="327"/>
      <c r="IF106" s="327"/>
      <c r="IG106" s="327"/>
      <c r="IH106" s="327"/>
      <c r="II106" s="327"/>
      <c r="IJ106" s="327"/>
      <c r="IK106" s="327"/>
      <c r="IL106" s="327"/>
      <c r="IM106" s="327"/>
      <c r="IN106" s="327"/>
    </row>
    <row r="107" spans="1:248" s="321" customFormat="1" ht="21" customHeight="1" x14ac:dyDescent="0.2">
      <c r="A107" s="449"/>
      <c r="AC107" s="405"/>
      <c r="AD107" s="406"/>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36"/>
      <c r="BX107" s="436"/>
      <c r="BY107" s="436"/>
      <c r="BZ107" s="436"/>
      <c r="CA107" s="436"/>
      <c r="CB107" s="436"/>
      <c r="CC107" s="436"/>
      <c r="CD107" s="436"/>
      <c r="CE107" s="436"/>
      <c r="CF107" s="436"/>
      <c r="CG107" s="436"/>
      <c r="CH107" s="436"/>
      <c r="CI107" s="436"/>
      <c r="CJ107" s="436"/>
      <c r="CK107" s="436"/>
      <c r="CL107" s="436"/>
      <c r="CM107" s="436"/>
      <c r="CN107" s="436"/>
      <c r="CO107" s="436"/>
      <c r="CP107" s="436"/>
      <c r="CQ107" s="436"/>
      <c r="CR107" s="436"/>
      <c r="CS107" s="436"/>
      <c r="CT107" s="436"/>
      <c r="CU107" s="414"/>
      <c r="CV107" s="414"/>
      <c r="CW107" s="415"/>
      <c r="CX107" s="415"/>
      <c r="CY107" s="415"/>
      <c r="CZ107" s="415"/>
      <c r="DA107" s="415"/>
      <c r="DB107" s="415"/>
      <c r="DC107" s="415"/>
      <c r="DD107" s="415"/>
      <c r="DE107" s="415"/>
      <c r="DF107" s="415"/>
      <c r="DG107" s="415"/>
      <c r="DH107" s="415"/>
      <c r="DI107" s="415"/>
      <c r="DJ107" s="414"/>
      <c r="DK107" s="414"/>
      <c r="DL107" s="414"/>
      <c r="DM107" s="414"/>
      <c r="DN107" s="414"/>
      <c r="DO107" s="414"/>
      <c r="DP107" s="414"/>
      <c r="DQ107" s="414"/>
      <c r="DR107" s="414"/>
      <c r="DS107" s="414"/>
      <c r="DT107" s="414"/>
      <c r="DU107" s="414"/>
      <c r="DV107" s="415"/>
      <c r="DW107" s="415"/>
      <c r="DX107" s="415"/>
      <c r="DY107" s="415"/>
      <c r="DZ107" s="415"/>
      <c r="EA107" s="415"/>
      <c r="EB107" s="415"/>
      <c r="EC107" s="415"/>
      <c r="ED107" s="415"/>
      <c r="EE107" s="415"/>
      <c r="EF107" s="415"/>
      <c r="EG107" s="415"/>
      <c r="EH107" s="415"/>
      <c r="EI107" s="415"/>
      <c r="EJ107" s="415"/>
      <c r="EK107" s="414"/>
      <c r="EL107" s="414"/>
      <c r="EM107" s="414"/>
      <c r="EN107" s="414"/>
      <c r="EO107" s="414"/>
      <c r="EP107" s="414"/>
      <c r="EQ107" s="414"/>
      <c r="ER107" s="414"/>
      <c r="ES107" s="414"/>
      <c r="ET107" s="414"/>
      <c r="EU107" s="414"/>
      <c r="EV107" s="414"/>
      <c r="EW107" s="414"/>
      <c r="EX107" s="414"/>
      <c r="EY107" s="414"/>
      <c r="EZ107" s="414"/>
      <c r="FA107" s="414"/>
      <c r="FB107" s="414"/>
      <c r="FC107" s="414"/>
      <c r="FD107" s="414"/>
      <c r="FE107" s="414"/>
      <c r="FF107" s="414"/>
      <c r="FG107" s="414"/>
      <c r="FH107" s="414"/>
      <c r="FI107" s="415"/>
      <c r="FJ107" s="415"/>
      <c r="FK107" s="415"/>
      <c r="FL107" s="387"/>
      <c r="FM107" s="387"/>
      <c r="FN107" s="387"/>
      <c r="FO107" s="387"/>
      <c r="FP107" s="387"/>
      <c r="FQ107" s="387"/>
      <c r="FR107" s="387"/>
      <c r="FS107" s="387"/>
      <c r="FT107" s="387"/>
      <c r="FU107" s="387"/>
      <c r="FV107" s="387"/>
      <c r="FW107" s="387"/>
      <c r="FX107" s="387"/>
      <c r="FY107" s="387"/>
      <c r="FZ107" s="387"/>
      <c r="GA107" s="387"/>
      <c r="GB107" s="387"/>
      <c r="GC107" s="387"/>
      <c r="GD107" s="387"/>
      <c r="GE107" s="387"/>
      <c r="GF107" s="387"/>
      <c r="GG107" s="387"/>
      <c r="GH107" s="387"/>
      <c r="GI107" s="387"/>
      <c r="GJ107" s="387"/>
      <c r="GK107" s="387"/>
      <c r="GL107" s="387"/>
      <c r="GM107" s="387"/>
      <c r="GN107" s="387"/>
      <c r="GO107" s="387"/>
      <c r="GP107" s="387"/>
      <c r="GQ107" s="387"/>
      <c r="GR107" s="387"/>
      <c r="GS107" s="387"/>
      <c r="GT107" s="387"/>
      <c r="GU107" s="387"/>
      <c r="GV107" s="387"/>
      <c r="GW107" s="387"/>
      <c r="GX107" s="387"/>
      <c r="GY107" s="387"/>
      <c r="GZ107" s="387"/>
      <c r="HA107" s="387"/>
      <c r="HB107" s="387"/>
      <c r="HC107" s="387"/>
      <c r="HD107" s="387"/>
      <c r="HE107" s="387"/>
      <c r="HF107" s="387"/>
      <c r="HG107" s="387"/>
      <c r="HH107" s="387"/>
      <c r="HI107" s="387"/>
      <c r="HJ107" s="387"/>
      <c r="HK107" s="387"/>
      <c r="HL107" s="387"/>
      <c r="HM107" s="387"/>
      <c r="HN107" s="387"/>
      <c r="HO107" s="387"/>
      <c r="HP107" s="387"/>
      <c r="HQ107" s="387"/>
      <c r="HR107" s="387"/>
      <c r="HS107" s="387"/>
      <c r="HT107" s="387"/>
      <c r="HU107" s="387"/>
      <c r="HV107" s="387"/>
      <c r="HW107" s="387"/>
      <c r="HX107" s="387"/>
      <c r="HY107" s="387"/>
      <c r="HZ107" s="387"/>
      <c r="IA107" s="387"/>
      <c r="IB107" s="387"/>
      <c r="IC107" s="387"/>
      <c r="ID107" s="387"/>
      <c r="IE107" s="327"/>
      <c r="IF107" s="327"/>
      <c r="IG107" s="327"/>
      <c r="IH107" s="327"/>
      <c r="II107" s="327"/>
      <c r="IJ107" s="327"/>
      <c r="IK107" s="327"/>
      <c r="IL107" s="327"/>
      <c r="IM107" s="327"/>
      <c r="IN107" s="327"/>
    </row>
    <row r="108" spans="1:248" s="321" customFormat="1" ht="21" customHeight="1" x14ac:dyDescent="0.2">
      <c r="AC108" s="362"/>
      <c r="AD108" s="410"/>
      <c r="AE108" s="414"/>
      <c r="AF108" s="414"/>
      <c r="AG108" s="414"/>
      <c r="AH108" s="414"/>
      <c r="AI108" s="414"/>
      <c r="AJ108" s="414"/>
      <c r="AK108" s="414"/>
      <c r="AL108" s="414"/>
      <c r="AM108" s="414"/>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36"/>
      <c r="BX108" s="436"/>
      <c r="BY108" s="436"/>
      <c r="BZ108" s="436"/>
      <c r="CA108" s="436"/>
      <c r="CB108" s="436"/>
      <c r="CC108" s="436"/>
      <c r="CD108" s="436"/>
      <c r="CE108" s="436"/>
      <c r="CF108" s="436"/>
      <c r="CG108" s="436"/>
      <c r="CH108" s="436"/>
      <c r="CI108" s="436"/>
      <c r="CJ108" s="436"/>
      <c r="CK108" s="436"/>
      <c r="CL108" s="436"/>
      <c r="CM108" s="436"/>
      <c r="CN108" s="436"/>
      <c r="CO108" s="436"/>
      <c r="CP108" s="436"/>
      <c r="CQ108" s="436"/>
      <c r="CR108" s="436"/>
      <c r="CS108" s="436"/>
      <c r="CT108" s="436"/>
      <c r="CU108" s="414"/>
      <c r="CV108" s="414"/>
      <c r="CW108" s="415"/>
      <c r="CX108" s="415"/>
      <c r="CY108" s="415"/>
      <c r="CZ108" s="415"/>
      <c r="DA108" s="415"/>
      <c r="DB108" s="415"/>
      <c r="DC108" s="415"/>
      <c r="DD108" s="415"/>
      <c r="DE108" s="415"/>
      <c r="DF108" s="415"/>
      <c r="DG108" s="415"/>
      <c r="DH108" s="415"/>
      <c r="DI108" s="415"/>
      <c r="DJ108" s="414"/>
      <c r="DK108" s="414"/>
      <c r="DL108" s="414"/>
      <c r="DM108" s="414"/>
      <c r="DN108" s="414"/>
      <c r="DO108" s="414"/>
      <c r="DP108" s="414"/>
      <c r="DQ108" s="414"/>
      <c r="DR108" s="414"/>
      <c r="DS108" s="414"/>
      <c r="DT108" s="414"/>
      <c r="DU108" s="414"/>
      <c r="DV108" s="415"/>
      <c r="DW108" s="415"/>
      <c r="DX108" s="415"/>
      <c r="DY108" s="415"/>
      <c r="DZ108" s="415"/>
      <c r="EA108" s="415"/>
      <c r="EB108" s="415"/>
      <c r="EC108" s="415"/>
      <c r="ED108" s="415"/>
      <c r="EE108" s="415"/>
      <c r="EF108" s="415"/>
      <c r="EG108" s="415"/>
      <c r="EH108" s="415"/>
      <c r="EI108" s="415"/>
      <c r="EJ108" s="415"/>
      <c r="EK108" s="414"/>
      <c r="EL108" s="414"/>
      <c r="EM108" s="414"/>
      <c r="EN108" s="414"/>
      <c r="EO108" s="414"/>
      <c r="EP108" s="414"/>
      <c r="EQ108" s="414"/>
      <c r="ER108" s="414"/>
      <c r="ES108" s="414"/>
      <c r="ET108" s="414"/>
      <c r="EU108" s="414"/>
      <c r="EV108" s="414"/>
      <c r="EW108" s="414"/>
      <c r="EX108" s="414"/>
      <c r="EY108" s="414"/>
      <c r="EZ108" s="414"/>
      <c r="FA108" s="414"/>
      <c r="FB108" s="414"/>
      <c r="FC108" s="414"/>
      <c r="FD108" s="414"/>
      <c r="FE108" s="414"/>
      <c r="FF108" s="414"/>
      <c r="FG108" s="414"/>
      <c r="FH108" s="414"/>
      <c r="FI108" s="415"/>
      <c r="FJ108" s="415"/>
      <c r="FK108" s="415"/>
      <c r="FL108" s="387"/>
      <c r="FM108" s="387"/>
      <c r="FN108" s="387"/>
      <c r="FO108" s="387"/>
      <c r="FP108" s="387"/>
      <c r="FQ108" s="387"/>
      <c r="FR108" s="387"/>
      <c r="FS108" s="387"/>
      <c r="FT108" s="387"/>
      <c r="FU108" s="387"/>
      <c r="FV108" s="387"/>
      <c r="FW108" s="387"/>
      <c r="FX108" s="387"/>
      <c r="FY108" s="387"/>
      <c r="FZ108" s="387"/>
      <c r="GA108" s="387"/>
      <c r="GB108" s="387"/>
      <c r="GC108" s="387"/>
      <c r="GD108" s="387"/>
      <c r="GE108" s="387"/>
      <c r="GF108" s="387"/>
      <c r="GG108" s="387"/>
      <c r="GH108" s="387"/>
      <c r="GI108" s="387"/>
      <c r="GJ108" s="387"/>
      <c r="GK108" s="387"/>
      <c r="GL108" s="387"/>
      <c r="GM108" s="387"/>
      <c r="GN108" s="387"/>
      <c r="GO108" s="387"/>
      <c r="GP108" s="387"/>
      <c r="GQ108" s="387"/>
      <c r="GR108" s="387"/>
      <c r="GS108" s="387"/>
      <c r="GT108" s="387"/>
      <c r="GU108" s="387"/>
      <c r="GV108" s="387"/>
      <c r="GW108" s="387"/>
      <c r="GX108" s="387"/>
      <c r="GY108" s="387"/>
      <c r="GZ108" s="387"/>
      <c r="HA108" s="387"/>
      <c r="HB108" s="387"/>
      <c r="HC108" s="387"/>
      <c r="HD108" s="387"/>
      <c r="HE108" s="387"/>
      <c r="HF108" s="387"/>
      <c r="HG108" s="387"/>
      <c r="HH108" s="387"/>
      <c r="HI108" s="387"/>
      <c r="HJ108" s="387"/>
      <c r="HK108" s="387"/>
      <c r="HL108" s="387"/>
      <c r="HM108" s="387"/>
      <c r="HN108" s="387"/>
      <c r="HO108" s="387"/>
      <c r="HP108" s="387"/>
      <c r="HQ108" s="387"/>
      <c r="HR108" s="387"/>
      <c r="HS108" s="387"/>
      <c r="HT108" s="387"/>
      <c r="HU108" s="387"/>
      <c r="HV108" s="387"/>
      <c r="HW108" s="387"/>
      <c r="HX108" s="387"/>
      <c r="HY108" s="387"/>
      <c r="HZ108" s="387"/>
      <c r="IA108" s="387"/>
      <c r="IB108" s="387"/>
      <c r="IC108" s="387"/>
      <c r="ID108" s="387"/>
      <c r="IE108" s="327"/>
      <c r="IF108" s="327"/>
      <c r="IG108" s="327"/>
      <c r="IH108" s="327"/>
      <c r="II108" s="327"/>
      <c r="IJ108" s="327"/>
      <c r="IK108" s="327"/>
      <c r="IL108" s="327"/>
      <c r="IM108" s="327"/>
      <c r="IN108" s="327"/>
    </row>
    <row r="109" spans="1:248" s="321" customFormat="1" ht="21" customHeight="1" x14ac:dyDescent="0.2">
      <c r="A109" s="362"/>
      <c r="AC109" s="408"/>
      <c r="AD109" s="410"/>
      <c r="AE109" s="414"/>
      <c r="AF109" s="414"/>
      <c r="AG109" s="414"/>
      <c r="AH109" s="414"/>
      <c r="AI109" s="414"/>
      <c r="AJ109" s="414"/>
      <c r="AK109" s="414"/>
      <c r="AL109" s="414"/>
      <c r="AM109" s="414"/>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36"/>
      <c r="BX109" s="436"/>
      <c r="BY109" s="436"/>
      <c r="BZ109" s="436"/>
      <c r="CA109" s="436"/>
      <c r="CB109" s="436"/>
      <c r="CC109" s="436"/>
      <c r="CD109" s="436"/>
      <c r="CE109" s="436"/>
      <c r="CF109" s="436"/>
      <c r="CG109" s="436"/>
      <c r="CH109" s="436"/>
      <c r="CI109" s="436"/>
      <c r="CJ109" s="436"/>
      <c r="CK109" s="436"/>
      <c r="CL109" s="436"/>
      <c r="CM109" s="436"/>
      <c r="CN109" s="436"/>
      <c r="CO109" s="436"/>
      <c r="CP109" s="436"/>
      <c r="CQ109" s="436"/>
      <c r="CR109" s="436"/>
      <c r="CS109" s="436"/>
      <c r="CT109" s="436"/>
      <c r="CU109" s="414"/>
      <c r="CV109" s="414"/>
      <c r="CW109" s="415"/>
      <c r="CX109" s="415"/>
      <c r="CY109" s="415"/>
      <c r="CZ109" s="415"/>
      <c r="DA109" s="415"/>
      <c r="DB109" s="415"/>
      <c r="DC109" s="415"/>
      <c r="DD109" s="415"/>
      <c r="DE109" s="415"/>
      <c r="DF109" s="415"/>
      <c r="DG109" s="415"/>
      <c r="DH109" s="415"/>
      <c r="DI109" s="415"/>
      <c r="DJ109" s="414"/>
      <c r="DK109" s="414"/>
      <c r="DL109" s="414"/>
      <c r="DM109" s="414"/>
      <c r="DN109" s="414"/>
      <c r="DO109" s="414"/>
      <c r="DP109" s="414"/>
      <c r="DQ109" s="414"/>
      <c r="DR109" s="414"/>
      <c r="DS109" s="414"/>
      <c r="DT109" s="414"/>
      <c r="DU109" s="414"/>
      <c r="DV109" s="415"/>
      <c r="DW109" s="415"/>
      <c r="DX109" s="415"/>
      <c r="DY109" s="415"/>
      <c r="DZ109" s="415"/>
      <c r="EA109" s="415"/>
      <c r="EB109" s="415"/>
      <c r="EC109" s="415"/>
      <c r="ED109" s="415"/>
      <c r="EE109" s="415"/>
      <c r="EF109" s="415"/>
      <c r="EG109" s="415"/>
      <c r="EH109" s="415"/>
      <c r="EI109" s="415"/>
      <c r="EJ109" s="415"/>
      <c r="EK109" s="414"/>
      <c r="EL109" s="414"/>
      <c r="EM109" s="414"/>
      <c r="EN109" s="414"/>
      <c r="EO109" s="414"/>
      <c r="EP109" s="414"/>
      <c r="EQ109" s="414"/>
      <c r="ER109" s="414"/>
      <c r="ES109" s="414"/>
      <c r="ET109" s="414"/>
      <c r="EU109" s="414"/>
      <c r="EV109" s="414"/>
      <c r="EW109" s="414"/>
      <c r="EX109" s="414"/>
      <c r="EY109" s="414"/>
      <c r="EZ109" s="414"/>
      <c r="FA109" s="414"/>
      <c r="FB109" s="414"/>
      <c r="FC109" s="414"/>
      <c r="FD109" s="414"/>
      <c r="FE109" s="414"/>
      <c r="FF109" s="414"/>
      <c r="FG109" s="414"/>
      <c r="FH109" s="414"/>
      <c r="FI109" s="415"/>
      <c r="FJ109" s="415"/>
      <c r="FK109" s="415"/>
      <c r="FL109" s="387"/>
      <c r="FM109" s="387"/>
      <c r="FN109" s="387"/>
      <c r="FO109" s="387"/>
      <c r="FP109" s="387"/>
      <c r="FQ109" s="387"/>
      <c r="FR109" s="387"/>
      <c r="FS109" s="387"/>
      <c r="FT109" s="387"/>
      <c r="FU109" s="387"/>
      <c r="FV109" s="387"/>
      <c r="FW109" s="387"/>
      <c r="FX109" s="387"/>
      <c r="FY109" s="387"/>
      <c r="FZ109" s="387"/>
      <c r="GA109" s="387"/>
      <c r="GB109" s="387"/>
      <c r="GC109" s="387"/>
      <c r="GD109" s="387"/>
      <c r="GE109" s="387"/>
      <c r="GF109" s="387"/>
      <c r="GG109" s="387"/>
      <c r="GH109" s="387"/>
      <c r="GI109" s="387"/>
      <c r="GJ109" s="387"/>
      <c r="GK109" s="387"/>
      <c r="GL109" s="387"/>
      <c r="GM109" s="387"/>
      <c r="GN109" s="387"/>
      <c r="GO109" s="387"/>
      <c r="GP109" s="387"/>
      <c r="GQ109" s="387"/>
      <c r="GR109" s="387"/>
      <c r="GS109" s="387"/>
      <c r="GT109" s="387"/>
      <c r="GU109" s="387"/>
      <c r="GV109" s="387"/>
      <c r="GW109" s="387"/>
      <c r="GX109" s="387"/>
      <c r="GY109" s="387"/>
      <c r="GZ109" s="387"/>
      <c r="HA109" s="387"/>
      <c r="HB109" s="387"/>
      <c r="HC109" s="387"/>
      <c r="HD109" s="387"/>
      <c r="HE109" s="387"/>
      <c r="HF109" s="387"/>
      <c r="HG109" s="387"/>
      <c r="HH109" s="387"/>
      <c r="HI109" s="387"/>
      <c r="HJ109" s="387"/>
      <c r="HK109" s="387"/>
      <c r="HL109" s="387"/>
      <c r="HM109" s="387"/>
      <c r="HN109" s="387"/>
      <c r="HO109" s="387"/>
      <c r="HP109" s="387"/>
      <c r="HQ109" s="387"/>
      <c r="HR109" s="387"/>
      <c r="HS109" s="387"/>
      <c r="HT109" s="387"/>
      <c r="HU109" s="387"/>
      <c r="HV109" s="387"/>
      <c r="HW109" s="387"/>
      <c r="HX109" s="387"/>
      <c r="HY109" s="387"/>
      <c r="HZ109" s="387"/>
      <c r="IA109" s="387"/>
      <c r="IB109" s="387"/>
      <c r="IC109" s="387"/>
      <c r="ID109" s="387"/>
      <c r="IE109" s="327"/>
      <c r="IF109" s="327"/>
      <c r="IG109" s="327"/>
      <c r="IH109" s="327"/>
      <c r="II109" s="327"/>
      <c r="IJ109" s="327"/>
      <c r="IK109" s="327"/>
      <c r="IL109" s="327"/>
      <c r="IM109" s="327"/>
      <c r="IN109" s="327"/>
    </row>
    <row r="110" spans="1:248" s="321" customFormat="1" ht="21.75" customHeight="1" x14ac:dyDescent="0.2">
      <c r="AC110" s="409"/>
      <c r="AD110" s="410"/>
      <c r="AE110" s="414"/>
      <c r="AF110" s="414"/>
      <c r="AG110" s="414"/>
      <c r="AH110" s="414"/>
      <c r="AI110" s="414"/>
      <c r="AJ110" s="414"/>
      <c r="AK110" s="414"/>
      <c r="AL110" s="414"/>
      <c r="AM110" s="414"/>
      <c r="AN110" s="414"/>
      <c r="AO110" s="414"/>
      <c r="AP110" s="414"/>
      <c r="AQ110" s="414"/>
      <c r="AR110" s="414"/>
      <c r="AS110" s="414"/>
      <c r="AT110" s="414"/>
      <c r="AU110" s="414"/>
      <c r="AV110" s="414"/>
      <c r="AW110" s="414"/>
      <c r="AX110" s="414"/>
      <c r="AY110" s="414"/>
      <c r="AZ110" s="414"/>
      <c r="BA110" s="414"/>
      <c r="BB110" s="414"/>
      <c r="BC110" s="414"/>
      <c r="BD110" s="414"/>
      <c r="BE110" s="414"/>
      <c r="BF110" s="414"/>
      <c r="BG110" s="414"/>
      <c r="BH110" s="414"/>
      <c r="BI110" s="414"/>
      <c r="BJ110" s="414"/>
      <c r="BK110" s="414"/>
      <c r="BL110" s="414"/>
      <c r="BM110" s="414"/>
      <c r="BN110" s="414"/>
      <c r="BO110" s="414"/>
      <c r="BP110" s="414"/>
      <c r="BQ110" s="414"/>
      <c r="BR110" s="414"/>
      <c r="BS110" s="414"/>
      <c r="BT110" s="414"/>
      <c r="BU110" s="414"/>
      <c r="BV110" s="414"/>
      <c r="BW110" s="436"/>
      <c r="BX110" s="436"/>
      <c r="BY110" s="436"/>
      <c r="BZ110" s="436"/>
      <c r="CA110" s="436"/>
      <c r="CB110" s="436"/>
      <c r="CC110" s="436"/>
      <c r="CD110" s="436"/>
      <c r="CE110" s="436"/>
      <c r="CF110" s="436"/>
      <c r="CG110" s="436"/>
      <c r="CH110" s="436"/>
      <c r="CI110" s="436"/>
      <c r="CJ110" s="436"/>
      <c r="CK110" s="436"/>
      <c r="CL110" s="436"/>
      <c r="CM110" s="436"/>
      <c r="CN110" s="436"/>
      <c r="CO110" s="436"/>
      <c r="CP110" s="436"/>
      <c r="CQ110" s="436"/>
      <c r="CR110" s="436"/>
      <c r="CS110" s="436"/>
      <c r="CT110" s="436"/>
      <c r="CU110" s="414"/>
      <c r="CV110" s="414"/>
      <c r="CW110" s="415"/>
      <c r="CX110" s="415"/>
      <c r="CY110" s="415"/>
      <c r="CZ110" s="415"/>
      <c r="DA110" s="415"/>
      <c r="DB110" s="415"/>
      <c r="DC110" s="415"/>
      <c r="DD110" s="415"/>
      <c r="DE110" s="415"/>
      <c r="DF110" s="415"/>
      <c r="DG110" s="415"/>
      <c r="DH110" s="415"/>
      <c r="DI110" s="415"/>
      <c r="DJ110" s="414"/>
      <c r="DK110" s="414"/>
      <c r="DL110" s="414"/>
      <c r="DM110" s="414"/>
      <c r="DN110" s="414"/>
      <c r="DO110" s="414"/>
      <c r="DP110" s="414"/>
      <c r="DQ110" s="414"/>
      <c r="DR110" s="414"/>
      <c r="DS110" s="414"/>
      <c r="DT110" s="414"/>
      <c r="DU110" s="414"/>
      <c r="DV110" s="415"/>
      <c r="DW110" s="415"/>
      <c r="DX110" s="415"/>
      <c r="DY110" s="415"/>
      <c r="DZ110" s="415"/>
      <c r="EA110" s="415"/>
      <c r="EB110" s="415"/>
      <c r="EC110" s="415"/>
      <c r="ED110" s="415"/>
      <c r="EE110" s="415"/>
      <c r="EF110" s="415"/>
      <c r="EG110" s="415"/>
      <c r="EH110" s="415"/>
      <c r="EI110" s="415"/>
      <c r="EJ110" s="415"/>
      <c r="EK110" s="414"/>
      <c r="EL110" s="414"/>
      <c r="EM110" s="414"/>
      <c r="EN110" s="414"/>
      <c r="EO110" s="414"/>
      <c r="EP110" s="414"/>
      <c r="EQ110" s="414"/>
      <c r="ER110" s="414"/>
      <c r="ES110" s="414"/>
      <c r="ET110" s="414"/>
      <c r="EU110" s="414"/>
      <c r="EV110" s="414"/>
      <c r="EW110" s="414"/>
      <c r="EX110" s="414"/>
      <c r="EY110" s="414"/>
      <c r="EZ110" s="414"/>
      <c r="FA110" s="414"/>
      <c r="FB110" s="414"/>
      <c r="FC110" s="414"/>
      <c r="FD110" s="414"/>
      <c r="FE110" s="414"/>
      <c r="FF110" s="414"/>
      <c r="FG110" s="414"/>
      <c r="FH110" s="414"/>
      <c r="FI110" s="415"/>
      <c r="FJ110" s="415"/>
      <c r="FK110" s="415"/>
      <c r="FL110" s="387"/>
      <c r="FM110" s="387"/>
      <c r="FN110" s="387"/>
      <c r="FO110" s="387"/>
      <c r="FP110" s="387"/>
      <c r="FQ110" s="387"/>
      <c r="FR110" s="387"/>
      <c r="FS110" s="387"/>
      <c r="FT110" s="387"/>
      <c r="FU110" s="387"/>
      <c r="FV110" s="387"/>
      <c r="FW110" s="387"/>
      <c r="FX110" s="387"/>
      <c r="FY110" s="387"/>
      <c r="FZ110" s="387"/>
      <c r="GA110" s="387"/>
      <c r="GB110" s="387"/>
      <c r="GC110" s="387"/>
      <c r="GD110" s="387"/>
      <c r="GE110" s="387"/>
      <c r="GF110" s="387"/>
      <c r="GG110" s="387"/>
      <c r="GH110" s="387"/>
      <c r="GI110" s="387"/>
      <c r="GJ110" s="387"/>
      <c r="GK110" s="387"/>
      <c r="GL110" s="387"/>
      <c r="GM110" s="387"/>
      <c r="GN110" s="387"/>
      <c r="GO110" s="387"/>
      <c r="GP110" s="387"/>
      <c r="GQ110" s="387"/>
      <c r="GR110" s="387"/>
      <c r="GS110" s="387"/>
      <c r="GT110" s="387"/>
      <c r="GU110" s="387"/>
      <c r="GV110" s="387"/>
      <c r="GW110" s="387"/>
      <c r="GX110" s="387"/>
      <c r="GY110" s="387"/>
      <c r="GZ110" s="387"/>
      <c r="HA110" s="387"/>
      <c r="HB110" s="387"/>
      <c r="HC110" s="387"/>
      <c r="HD110" s="387"/>
      <c r="HE110" s="387"/>
      <c r="HF110" s="387"/>
      <c r="HG110" s="387"/>
      <c r="HH110" s="387"/>
      <c r="HI110" s="387"/>
      <c r="HJ110" s="387"/>
      <c r="HK110" s="387"/>
      <c r="HL110" s="387"/>
      <c r="HM110" s="387"/>
      <c r="HN110" s="387"/>
      <c r="HO110" s="387"/>
      <c r="HP110" s="387"/>
      <c r="HQ110" s="387"/>
      <c r="HR110" s="387"/>
      <c r="HS110" s="387"/>
      <c r="HT110" s="387"/>
      <c r="HU110" s="387"/>
      <c r="HV110" s="387"/>
      <c r="HW110" s="387"/>
      <c r="HX110" s="387"/>
      <c r="HY110" s="387"/>
      <c r="HZ110" s="387"/>
      <c r="IA110" s="387"/>
      <c r="IB110" s="387"/>
      <c r="IC110" s="387"/>
      <c r="ID110" s="387"/>
      <c r="IE110" s="327"/>
      <c r="IF110" s="327"/>
      <c r="IG110" s="327"/>
      <c r="IH110" s="327"/>
      <c r="II110" s="327"/>
      <c r="IJ110" s="327"/>
      <c r="IK110" s="327"/>
      <c r="IL110" s="327"/>
      <c r="IM110" s="327"/>
      <c r="IN110" s="327"/>
    </row>
    <row r="111" spans="1:248" s="321" customFormat="1" x14ac:dyDescent="0.2">
      <c r="AC111" s="409"/>
      <c r="AD111" s="410"/>
      <c r="AE111" s="414"/>
      <c r="AF111" s="414"/>
      <c r="AG111" s="414"/>
      <c r="AH111" s="414"/>
      <c r="AI111" s="414"/>
      <c r="AJ111" s="414"/>
      <c r="AK111" s="414"/>
      <c r="AL111" s="414"/>
      <c r="AM111" s="414"/>
      <c r="AN111" s="414"/>
      <c r="AO111" s="414"/>
      <c r="AP111" s="414"/>
      <c r="AQ111" s="414"/>
      <c r="AR111" s="414"/>
      <c r="AS111" s="414"/>
      <c r="AT111" s="414"/>
      <c r="AU111" s="414"/>
      <c r="AV111" s="414"/>
      <c r="AW111" s="414"/>
      <c r="AX111" s="414"/>
      <c r="AY111" s="414"/>
      <c r="AZ111" s="414"/>
      <c r="BA111" s="414"/>
      <c r="BB111" s="414"/>
      <c r="BC111" s="414"/>
      <c r="BD111" s="414"/>
      <c r="BE111" s="414"/>
      <c r="BF111" s="414"/>
      <c r="BG111" s="414"/>
      <c r="BH111" s="414"/>
      <c r="BI111" s="414"/>
      <c r="BJ111" s="414"/>
      <c r="BK111" s="414"/>
      <c r="BL111" s="414"/>
      <c r="BM111" s="414"/>
      <c r="BN111" s="414"/>
      <c r="BO111" s="414"/>
      <c r="BP111" s="414"/>
      <c r="BQ111" s="414"/>
      <c r="BR111" s="414"/>
      <c r="BS111" s="414"/>
      <c r="BT111" s="414"/>
      <c r="BU111" s="414"/>
      <c r="BV111" s="414"/>
      <c r="BW111" s="436"/>
      <c r="BX111" s="436"/>
      <c r="BY111" s="436"/>
      <c r="BZ111" s="436"/>
      <c r="CA111" s="436"/>
      <c r="CB111" s="436"/>
      <c r="CC111" s="436"/>
      <c r="CD111" s="436"/>
      <c r="CE111" s="436"/>
      <c r="CF111" s="436"/>
      <c r="CG111" s="436"/>
      <c r="CH111" s="436"/>
      <c r="CI111" s="436"/>
      <c r="CJ111" s="436"/>
      <c r="CK111" s="436"/>
      <c r="CL111" s="436"/>
      <c r="CM111" s="436"/>
      <c r="CN111" s="436"/>
      <c r="CO111" s="436"/>
      <c r="CP111" s="436"/>
      <c r="CQ111" s="436"/>
      <c r="CR111" s="436"/>
      <c r="CS111" s="436"/>
      <c r="CT111" s="436"/>
      <c r="CU111" s="414"/>
      <c r="CV111" s="414"/>
      <c r="CW111" s="415"/>
      <c r="CX111" s="415"/>
      <c r="CY111" s="415"/>
      <c r="CZ111" s="415"/>
      <c r="DA111" s="415"/>
      <c r="DB111" s="415"/>
      <c r="DC111" s="415"/>
      <c r="DD111" s="415"/>
      <c r="DE111" s="415"/>
      <c r="DF111" s="415"/>
      <c r="DG111" s="415"/>
      <c r="DH111" s="415"/>
      <c r="DI111" s="415"/>
      <c r="DJ111" s="414"/>
      <c r="DK111" s="414"/>
      <c r="DL111" s="414"/>
      <c r="DM111" s="414"/>
      <c r="DN111" s="414"/>
      <c r="DO111" s="414"/>
      <c r="DP111" s="414"/>
      <c r="DQ111" s="414"/>
      <c r="DR111" s="414"/>
      <c r="DS111" s="414"/>
      <c r="DT111" s="414"/>
      <c r="DU111" s="414"/>
      <c r="DV111" s="415"/>
      <c r="DW111" s="415"/>
      <c r="DX111" s="415"/>
      <c r="DY111" s="415"/>
      <c r="DZ111" s="415"/>
      <c r="EA111" s="415"/>
      <c r="EB111" s="415"/>
      <c r="EC111" s="415"/>
      <c r="ED111" s="415"/>
      <c r="EE111" s="415"/>
      <c r="EF111" s="415"/>
      <c r="EG111" s="415"/>
      <c r="EH111" s="415"/>
      <c r="EI111" s="415"/>
      <c r="EJ111" s="415"/>
      <c r="EK111" s="414"/>
      <c r="EL111" s="414"/>
      <c r="EM111" s="414"/>
      <c r="EN111" s="414"/>
      <c r="EO111" s="414"/>
      <c r="EP111" s="414"/>
      <c r="EQ111" s="414"/>
      <c r="ER111" s="414"/>
      <c r="ES111" s="414"/>
      <c r="ET111" s="414"/>
      <c r="EU111" s="414"/>
      <c r="EV111" s="414"/>
      <c r="EW111" s="414"/>
      <c r="EX111" s="414"/>
      <c r="EY111" s="414"/>
      <c r="EZ111" s="414"/>
      <c r="FA111" s="414"/>
      <c r="FB111" s="414"/>
      <c r="FC111" s="414"/>
      <c r="FD111" s="414"/>
      <c r="FE111" s="414"/>
      <c r="FF111" s="414"/>
      <c r="FG111" s="414"/>
      <c r="FH111" s="414"/>
      <c r="FI111" s="415"/>
      <c r="FJ111" s="415"/>
      <c r="FK111" s="415"/>
      <c r="FL111" s="387"/>
      <c r="FM111" s="387"/>
      <c r="FN111" s="387"/>
      <c r="FO111" s="387"/>
      <c r="FP111" s="387"/>
      <c r="FQ111" s="387"/>
      <c r="FR111" s="387"/>
      <c r="FS111" s="387"/>
      <c r="FT111" s="387"/>
      <c r="FU111" s="387"/>
      <c r="FV111" s="387"/>
      <c r="FW111" s="387"/>
      <c r="FX111" s="387"/>
      <c r="FY111" s="387"/>
      <c r="FZ111" s="387"/>
      <c r="GA111" s="387"/>
      <c r="GB111" s="387"/>
      <c r="GC111" s="387"/>
      <c r="GD111" s="387"/>
      <c r="GE111" s="387"/>
      <c r="GF111" s="387"/>
      <c r="GG111" s="387"/>
      <c r="GH111" s="387"/>
      <c r="GI111" s="387"/>
      <c r="GJ111" s="387"/>
      <c r="GK111" s="387"/>
      <c r="GL111" s="387"/>
      <c r="GM111" s="387"/>
      <c r="GN111" s="387"/>
      <c r="GO111" s="387"/>
      <c r="GP111" s="387"/>
      <c r="GQ111" s="387"/>
      <c r="GR111" s="387"/>
      <c r="GS111" s="387"/>
      <c r="GT111" s="387"/>
      <c r="GU111" s="387"/>
      <c r="GV111" s="387"/>
      <c r="GW111" s="387"/>
      <c r="GX111" s="387"/>
      <c r="GY111" s="387"/>
      <c r="GZ111" s="387"/>
      <c r="HA111" s="387"/>
      <c r="HB111" s="387"/>
      <c r="HC111" s="387"/>
      <c r="HD111" s="387"/>
      <c r="HE111" s="387"/>
      <c r="HF111" s="387"/>
      <c r="HG111" s="387"/>
      <c r="HH111" s="387"/>
      <c r="HI111" s="387"/>
      <c r="HJ111" s="387"/>
      <c r="HK111" s="387"/>
      <c r="HL111" s="387"/>
      <c r="HM111" s="387"/>
      <c r="HN111" s="387"/>
      <c r="HO111" s="387"/>
      <c r="HP111" s="387"/>
      <c r="HQ111" s="387"/>
      <c r="HR111" s="387"/>
      <c r="HS111" s="387"/>
      <c r="HT111" s="387"/>
      <c r="HU111" s="387"/>
      <c r="HV111" s="387"/>
      <c r="HW111" s="387"/>
      <c r="HX111" s="387"/>
      <c r="HY111" s="387"/>
      <c r="HZ111" s="387"/>
      <c r="IA111" s="387"/>
      <c r="IB111" s="387"/>
      <c r="IC111" s="387"/>
      <c r="ID111" s="387"/>
      <c r="IE111" s="327"/>
      <c r="IF111" s="327"/>
      <c r="IG111" s="327"/>
      <c r="IH111" s="327"/>
      <c r="II111" s="327"/>
      <c r="IJ111" s="327"/>
      <c r="IK111" s="327"/>
      <c r="IL111" s="327"/>
      <c r="IM111" s="327"/>
      <c r="IN111" s="327"/>
    </row>
    <row r="112" spans="1:248" s="321" customFormat="1" x14ac:dyDescent="0.2">
      <c r="C112" s="323"/>
      <c r="D112" s="323"/>
      <c r="E112" s="323"/>
      <c r="F112" s="323"/>
      <c r="G112" s="323"/>
      <c r="H112" s="323"/>
      <c r="I112" s="323"/>
      <c r="J112" s="323"/>
      <c r="K112" s="323"/>
      <c r="L112" s="323"/>
      <c r="M112" s="323"/>
      <c r="N112" s="323"/>
      <c r="O112" s="323"/>
      <c r="P112" s="323"/>
      <c r="Q112" s="323"/>
      <c r="R112" s="323"/>
      <c r="S112" s="323"/>
      <c r="T112" s="323"/>
      <c r="U112" s="323"/>
      <c r="V112" s="323"/>
      <c r="W112" s="323"/>
      <c r="X112" s="323"/>
      <c r="Y112" s="323"/>
      <c r="Z112" s="323"/>
      <c r="AA112" s="323"/>
      <c r="AB112" s="323"/>
      <c r="AC112" s="410"/>
      <c r="AD112" s="410"/>
      <c r="AE112" s="414"/>
      <c r="AF112" s="414"/>
      <c r="AG112" s="414"/>
      <c r="AH112" s="414"/>
      <c r="AI112" s="414"/>
      <c r="AJ112" s="414"/>
      <c r="AK112" s="414"/>
      <c r="AL112" s="414"/>
      <c r="AM112" s="414"/>
      <c r="AN112" s="414"/>
      <c r="AO112" s="414"/>
      <c r="AP112" s="414"/>
      <c r="AQ112" s="414"/>
      <c r="AR112" s="414"/>
      <c r="AS112" s="414"/>
      <c r="AT112" s="414"/>
      <c r="AU112" s="414"/>
      <c r="AV112" s="414"/>
      <c r="AW112" s="414"/>
      <c r="AX112" s="414"/>
      <c r="AY112" s="414"/>
      <c r="AZ112" s="414"/>
      <c r="BA112" s="414"/>
      <c r="BB112" s="414"/>
      <c r="BC112" s="414"/>
      <c r="BD112" s="414"/>
      <c r="BE112" s="414"/>
      <c r="BF112" s="414"/>
      <c r="BG112" s="414"/>
      <c r="BH112" s="414"/>
      <c r="BI112" s="414"/>
      <c r="BJ112" s="414"/>
      <c r="BK112" s="414"/>
      <c r="BL112" s="414"/>
      <c r="BM112" s="414"/>
      <c r="BN112" s="414"/>
      <c r="BO112" s="414"/>
      <c r="BP112" s="414"/>
      <c r="BQ112" s="414"/>
      <c r="BR112" s="414"/>
      <c r="BS112" s="414"/>
      <c r="BT112" s="414"/>
      <c r="BU112" s="414"/>
      <c r="BV112" s="414"/>
      <c r="BW112" s="436"/>
      <c r="BX112" s="436"/>
      <c r="BY112" s="436"/>
      <c r="BZ112" s="436"/>
      <c r="CA112" s="436"/>
      <c r="CB112" s="436"/>
      <c r="CC112" s="436"/>
      <c r="CD112" s="436"/>
      <c r="CE112" s="436"/>
      <c r="CF112" s="436"/>
      <c r="CG112" s="436"/>
      <c r="CH112" s="436"/>
      <c r="CI112" s="436"/>
      <c r="CJ112" s="436"/>
      <c r="CK112" s="436"/>
      <c r="CL112" s="436"/>
      <c r="CM112" s="436"/>
      <c r="CN112" s="436"/>
      <c r="CO112" s="436"/>
      <c r="CP112" s="436"/>
      <c r="CQ112" s="436"/>
      <c r="CR112" s="436"/>
      <c r="CS112" s="436"/>
      <c r="CT112" s="436"/>
      <c r="CU112" s="414"/>
      <c r="CV112" s="414"/>
      <c r="CW112" s="415"/>
      <c r="CX112" s="415"/>
      <c r="CY112" s="415"/>
      <c r="CZ112" s="415"/>
      <c r="DA112" s="415"/>
      <c r="DB112" s="415"/>
      <c r="DC112" s="415"/>
      <c r="DD112" s="415"/>
      <c r="DE112" s="415"/>
      <c r="DF112" s="415"/>
      <c r="DG112" s="415"/>
      <c r="DH112" s="415"/>
      <c r="DI112" s="415"/>
      <c r="DJ112" s="414"/>
      <c r="DK112" s="414"/>
      <c r="DL112" s="414"/>
      <c r="DM112" s="414"/>
      <c r="DN112" s="414"/>
      <c r="DO112" s="414"/>
      <c r="DP112" s="414"/>
      <c r="DQ112" s="414"/>
      <c r="DR112" s="414"/>
      <c r="DS112" s="414"/>
      <c r="DT112" s="414"/>
      <c r="DU112" s="414"/>
      <c r="DV112" s="415"/>
      <c r="DW112" s="415"/>
      <c r="DX112" s="415"/>
      <c r="DY112" s="415"/>
      <c r="DZ112" s="415"/>
      <c r="EA112" s="415"/>
      <c r="EB112" s="415"/>
      <c r="EC112" s="415"/>
      <c r="ED112" s="415"/>
      <c r="EE112" s="415"/>
      <c r="EF112" s="415"/>
      <c r="EG112" s="415"/>
      <c r="EH112" s="415"/>
      <c r="EI112" s="415"/>
      <c r="EJ112" s="415"/>
      <c r="EK112" s="414"/>
      <c r="EL112" s="414"/>
      <c r="EM112" s="414"/>
      <c r="EN112" s="414"/>
      <c r="EO112" s="414"/>
      <c r="EP112" s="414"/>
      <c r="EQ112" s="414"/>
      <c r="ER112" s="414"/>
      <c r="ES112" s="414"/>
      <c r="ET112" s="414"/>
      <c r="EU112" s="414"/>
      <c r="EV112" s="414"/>
      <c r="EW112" s="414"/>
      <c r="EX112" s="414"/>
      <c r="EY112" s="414"/>
      <c r="EZ112" s="414"/>
      <c r="FA112" s="414"/>
      <c r="FB112" s="414"/>
      <c r="FC112" s="414"/>
      <c r="FD112" s="414"/>
      <c r="FE112" s="414"/>
      <c r="FF112" s="414"/>
      <c r="FG112" s="414"/>
      <c r="FH112" s="414"/>
      <c r="FI112" s="415"/>
      <c r="FJ112" s="415"/>
      <c r="FK112" s="415"/>
      <c r="FL112" s="387"/>
      <c r="FM112" s="387"/>
      <c r="FN112" s="387"/>
      <c r="FO112" s="387"/>
      <c r="FP112" s="387"/>
      <c r="FQ112" s="387"/>
      <c r="FR112" s="387"/>
      <c r="FS112" s="387"/>
      <c r="FT112" s="387"/>
      <c r="FU112" s="387"/>
      <c r="FV112" s="387"/>
      <c r="FW112" s="387"/>
      <c r="FX112" s="387"/>
      <c r="FY112" s="387"/>
      <c r="FZ112" s="387"/>
      <c r="GA112" s="387"/>
      <c r="GB112" s="387"/>
      <c r="GC112" s="387"/>
      <c r="GD112" s="387"/>
      <c r="GE112" s="387"/>
      <c r="GF112" s="387"/>
      <c r="GG112" s="387"/>
      <c r="GH112" s="387"/>
      <c r="GI112" s="387"/>
      <c r="GJ112" s="387"/>
      <c r="GK112" s="387"/>
      <c r="GL112" s="387"/>
      <c r="GM112" s="387"/>
      <c r="GN112" s="387"/>
      <c r="GO112" s="387"/>
      <c r="GP112" s="387"/>
      <c r="GQ112" s="387"/>
      <c r="GR112" s="387"/>
      <c r="GS112" s="387"/>
      <c r="GT112" s="387"/>
      <c r="GU112" s="387"/>
      <c r="GV112" s="387"/>
      <c r="GW112" s="387"/>
      <c r="GX112" s="387"/>
      <c r="GY112" s="387"/>
      <c r="GZ112" s="387"/>
      <c r="HA112" s="387"/>
      <c r="HB112" s="387"/>
      <c r="HC112" s="387"/>
      <c r="HD112" s="387"/>
      <c r="HE112" s="387"/>
      <c r="HF112" s="387"/>
      <c r="HG112" s="387"/>
      <c r="HH112" s="387"/>
      <c r="HI112" s="387"/>
      <c r="HJ112" s="387"/>
      <c r="HK112" s="387"/>
      <c r="HL112" s="387"/>
      <c r="HM112" s="387"/>
      <c r="HN112" s="387"/>
      <c r="HO112" s="387"/>
      <c r="HP112" s="387"/>
      <c r="HQ112" s="387"/>
      <c r="HR112" s="387"/>
      <c r="HS112" s="387"/>
      <c r="HT112" s="387"/>
      <c r="HU112" s="387"/>
      <c r="HV112" s="387"/>
      <c r="HW112" s="387"/>
      <c r="HX112" s="387"/>
      <c r="HY112" s="387"/>
      <c r="HZ112" s="387"/>
      <c r="IA112" s="387"/>
      <c r="IB112" s="387"/>
      <c r="IC112" s="387"/>
      <c r="ID112" s="387"/>
      <c r="IE112" s="327"/>
      <c r="IF112" s="327"/>
      <c r="IG112" s="327"/>
      <c r="IH112" s="327"/>
      <c r="II112" s="327"/>
      <c r="IJ112" s="327"/>
      <c r="IK112" s="327"/>
      <c r="IL112" s="327"/>
      <c r="IM112" s="327"/>
      <c r="IN112" s="327"/>
    </row>
    <row r="113" spans="3:248" s="321" customFormat="1" ht="15" x14ac:dyDescent="0.2">
      <c r="C113" s="323"/>
      <c r="D113" s="323"/>
      <c r="E113" s="323"/>
      <c r="F113" s="323"/>
      <c r="G113" s="323"/>
      <c r="H113" s="323"/>
      <c r="I113" s="323"/>
      <c r="J113" s="323"/>
      <c r="K113" s="329"/>
      <c r="L113" s="329"/>
      <c r="M113" s="329"/>
      <c r="N113" s="329"/>
      <c r="AC113" s="410"/>
      <c r="AD113" s="410"/>
      <c r="AE113" s="414"/>
      <c r="AF113" s="414"/>
      <c r="AG113" s="414"/>
      <c r="AH113" s="414"/>
      <c r="AI113" s="414"/>
      <c r="AJ113" s="414"/>
      <c r="AK113" s="414"/>
      <c r="AL113" s="414"/>
      <c r="AM113" s="414"/>
      <c r="AN113" s="414"/>
      <c r="AO113" s="414"/>
      <c r="AP113" s="414"/>
      <c r="AQ113" s="414"/>
      <c r="AR113" s="414"/>
      <c r="AS113" s="414"/>
      <c r="AT113" s="414"/>
      <c r="AU113" s="414"/>
      <c r="AV113" s="414"/>
      <c r="AW113" s="414"/>
      <c r="AX113" s="414"/>
      <c r="AY113" s="414"/>
      <c r="AZ113" s="414"/>
      <c r="BA113" s="414"/>
      <c r="BB113" s="414"/>
      <c r="BC113" s="414"/>
      <c r="BD113" s="414"/>
      <c r="BE113" s="414"/>
      <c r="BF113" s="414"/>
      <c r="BG113" s="414"/>
      <c r="BH113" s="414"/>
      <c r="BI113" s="414"/>
      <c r="BJ113" s="414"/>
      <c r="BK113" s="414"/>
      <c r="BL113" s="414"/>
      <c r="BM113" s="414"/>
      <c r="BN113" s="414"/>
      <c r="BO113" s="414"/>
      <c r="BP113" s="414"/>
      <c r="BQ113" s="414"/>
      <c r="BR113" s="414"/>
      <c r="BS113" s="414"/>
      <c r="BT113" s="414"/>
      <c r="BU113" s="414"/>
      <c r="BV113" s="414"/>
      <c r="BW113" s="436"/>
      <c r="BX113" s="436"/>
      <c r="BY113" s="436"/>
      <c r="BZ113" s="436"/>
      <c r="CA113" s="436"/>
      <c r="CB113" s="436"/>
      <c r="CC113" s="436"/>
      <c r="CD113" s="436"/>
      <c r="CE113" s="436"/>
      <c r="CF113" s="436"/>
      <c r="CG113" s="436"/>
      <c r="CH113" s="436"/>
      <c r="CI113" s="436"/>
      <c r="CJ113" s="436"/>
      <c r="CK113" s="436"/>
      <c r="CL113" s="436"/>
      <c r="CM113" s="436"/>
      <c r="CN113" s="436"/>
      <c r="CO113" s="436"/>
      <c r="CP113" s="436"/>
      <c r="CQ113" s="436"/>
      <c r="CR113" s="436"/>
      <c r="CS113" s="436"/>
      <c r="CT113" s="436"/>
      <c r="CU113" s="414"/>
      <c r="CV113" s="414"/>
      <c r="CW113" s="415"/>
      <c r="CX113" s="415"/>
      <c r="CY113" s="415"/>
      <c r="CZ113" s="415"/>
      <c r="DA113" s="415"/>
      <c r="DB113" s="415"/>
      <c r="DC113" s="415"/>
      <c r="DD113" s="415"/>
      <c r="DE113" s="415"/>
      <c r="DF113" s="415"/>
      <c r="DG113" s="415"/>
      <c r="DH113" s="415"/>
      <c r="DI113" s="415"/>
      <c r="DJ113" s="414"/>
      <c r="DK113" s="414"/>
      <c r="DL113" s="414"/>
      <c r="DM113" s="414"/>
      <c r="DN113" s="414"/>
      <c r="DO113" s="414"/>
      <c r="DP113" s="414"/>
      <c r="DQ113" s="414"/>
      <c r="DR113" s="414"/>
      <c r="DS113" s="414"/>
      <c r="DT113" s="414"/>
      <c r="DU113" s="414"/>
      <c r="DV113" s="415"/>
      <c r="DW113" s="415"/>
      <c r="DX113" s="415"/>
      <c r="DY113" s="415"/>
      <c r="DZ113" s="415"/>
      <c r="EA113" s="415"/>
      <c r="EB113" s="415"/>
      <c r="EC113" s="415"/>
      <c r="ED113" s="415"/>
      <c r="EE113" s="415"/>
      <c r="EF113" s="415"/>
      <c r="EG113" s="415"/>
      <c r="EH113" s="415"/>
      <c r="EI113" s="415"/>
      <c r="EJ113" s="415"/>
      <c r="EK113" s="414"/>
      <c r="EL113" s="414"/>
      <c r="EM113" s="414"/>
      <c r="EN113" s="414"/>
      <c r="EO113" s="414"/>
      <c r="EP113" s="414"/>
      <c r="EQ113" s="414"/>
      <c r="ER113" s="414"/>
      <c r="ES113" s="414"/>
      <c r="ET113" s="414"/>
      <c r="EU113" s="414"/>
      <c r="EV113" s="414"/>
      <c r="EW113" s="414"/>
      <c r="EX113" s="414"/>
      <c r="EY113" s="414"/>
      <c r="EZ113" s="414"/>
      <c r="FA113" s="414"/>
      <c r="FB113" s="414"/>
      <c r="FC113" s="414"/>
      <c r="FD113" s="414"/>
      <c r="FE113" s="414"/>
      <c r="FF113" s="414"/>
      <c r="FG113" s="414"/>
      <c r="FH113" s="414"/>
      <c r="FI113" s="415"/>
      <c r="FJ113" s="415"/>
      <c r="FK113" s="415"/>
      <c r="FL113" s="387"/>
      <c r="FM113" s="387"/>
      <c r="FN113" s="387"/>
      <c r="FO113" s="387"/>
      <c r="FP113" s="387"/>
      <c r="FQ113" s="387"/>
      <c r="FR113" s="387"/>
      <c r="FS113" s="387"/>
      <c r="FT113" s="387"/>
      <c r="FU113" s="387"/>
      <c r="FV113" s="387"/>
      <c r="FW113" s="387"/>
      <c r="FX113" s="387"/>
      <c r="FY113" s="387"/>
      <c r="FZ113" s="387"/>
      <c r="GA113" s="387"/>
      <c r="GB113" s="387"/>
      <c r="GC113" s="387"/>
      <c r="GD113" s="387"/>
      <c r="GE113" s="387"/>
      <c r="GF113" s="387"/>
      <c r="GG113" s="387"/>
      <c r="GH113" s="387"/>
      <c r="GI113" s="387"/>
      <c r="GJ113" s="387"/>
      <c r="GK113" s="387"/>
      <c r="GL113" s="387"/>
      <c r="GM113" s="387"/>
      <c r="GN113" s="387"/>
      <c r="GO113" s="387"/>
      <c r="GP113" s="387"/>
      <c r="GQ113" s="387"/>
      <c r="GR113" s="387"/>
      <c r="GS113" s="387"/>
      <c r="GT113" s="387"/>
      <c r="GU113" s="387"/>
      <c r="GV113" s="387"/>
      <c r="GW113" s="387"/>
      <c r="GX113" s="387"/>
      <c r="GY113" s="387"/>
      <c r="GZ113" s="387"/>
      <c r="HA113" s="387"/>
      <c r="HB113" s="387"/>
      <c r="HC113" s="387"/>
      <c r="HD113" s="387"/>
      <c r="HE113" s="387"/>
      <c r="HF113" s="387"/>
      <c r="HG113" s="387"/>
      <c r="HH113" s="387"/>
      <c r="HI113" s="387"/>
      <c r="HJ113" s="387"/>
      <c r="HK113" s="387"/>
      <c r="HL113" s="387"/>
      <c r="HM113" s="387"/>
      <c r="HN113" s="387"/>
      <c r="HO113" s="387"/>
      <c r="HP113" s="387"/>
      <c r="HQ113" s="387"/>
      <c r="HR113" s="387"/>
      <c r="HS113" s="387"/>
      <c r="HT113" s="387"/>
      <c r="HU113" s="387"/>
      <c r="HV113" s="387"/>
      <c r="HW113" s="387"/>
      <c r="HX113" s="387"/>
      <c r="HY113" s="387"/>
      <c r="HZ113" s="387"/>
      <c r="IA113" s="387"/>
      <c r="IB113" s="387"/>
      <c r="IC113" s="387"/>
      <c r="ID113" s="387"/>
      <c r="IE113" s="327"/>
      <c r="IF113" s="327"/>
      <c r="IG113" s="327"/>
      <c r="IH113" s="327"/>
      <c r="II113" s="327"/>
      <c r="IJ113" s="327"/>
      <c r="IK113" s="327"/>
      <c r="IL113" s="327"/>
      <c r="IM113" s="327"/>
      <c r="IN113" s="327"/>
    </row>
    <row r="114" spans="3:248" s="321" customFormat="1" ht="15.75" customHeight="1" x14ac:dyDescent="0.2">
      <c r="C114" s="323"/>
      <c r="D114" s="323"/>
      <c r="E114" s="322"/>
      <c r="F114" s="323"/>
      <c r="G114" s="323"/>
      <c r="H114" s="323"/>
      <c r="I114" s="323"/>
      <c r="J114" s="323"/>
      <c r="K114" s="329"/>
      <c r="L114" s="329"/>
      <c r="M114" s="329"/>
      <c r="N114" s="329"/>
      <c r="AC114" s="362"/>
      <c r="AD114" s="410"/>
      <c r="AE114" s="414"/>
      <c r="AF114" s="414"/>
      <c r="AG114" s="414"/>
      <c r="AH114" s="414"/>
      <c r="AI114" s="414"/>
      <c r="AJ114" s="414"/>
      <c r="AK114" s="414"/>
      <c r="AL114" s="414"/>
      <c r="AM114" s="414"/>
      <c r="AN114" s="414"/>
      <c r="AO114" s="414"/>
      <c r="AP114" s="414"/>
      <c r="AQ114" s="414"/>
      <c r="AR114" s="414"/>
      <c r="AS114" s="414"/>
      <c r="AT114" s="414"/>
      <c r="AU114" s="414"/>
      <c r="AV114" s="414"/>
      <c r="AW114" s="414"/>
      <c r="AX114" s="414"/>
      <c r="AY114" s="414"/>
      <c r="AZ114" s="414"/>
      <c r="BA114" s="414"/>
      <c r="BB114" s="414"/>
      <c r="BC114" s="414"/>
      <c r="BD114" s="414"/>
      <c r="BE114" s="414"/>
      <c r="BF114" s="414"/>
      <c r="BG114" s="414"/>
      <c r="BH114" s="414"/>
      <c r="BI114" s="414"/>
      <c r="BJ114" s="414"/>
      <c r="BK114" s="414"/>
      <c r="BL114" s="414"/>
      <c r="BM114" s="414"/>
      <c r="BN114" s="414"/>
      <c r="BO114" s="414"/>
      <c r="BP114" s="414"/>
      <c r="BQ114" s="414"/>
      <c r="BR114" s="414"/>
      <c r="BS114" s="414"/>
      <c r="BT114" s="414"/>
      <c r="BU114" s="414"/>
      <c r="BV114" s="414"/>
      <c r="BW114" s="436"/>
      <c r="BX114" s="436"/>
      <c r="BY114" s="436"/>
      <c r="BZ114" s="436"/>
      <c r="CA114" s="436"/>
      <c r="CB114" s="436"/>
      <c r="CC114" s="436"/>
      <c r="CD114" s="436"/>
      <c r="CE114" s="436"/>
      <c r="CF114" s="436"/>
      <c r="CG114" s="436"/>
      <c r="CH114" s="436"/>
      <c r="CI114" s="436"/>
      <c r="CJ114" s="436"/>
      <c r="CK114" s="436"/>
      <c r="CL114" s="436"/>
      <c r="CM114" s="436"/>
      <c r="CN114" s="436"/>
      <c r="CO114" s="436"/>
      <c r="CP114" s="436"/>
      <c r="CQ114" s="436"/>
      <c r="CR114" s="436"/>
      <c r="CS114" s="436"/>
      <c r="CT114" s="436"/>
      <c r="CU114" s="414"/>
      <c r="CV114" s="414"/>
      <c r="CW114" s="415"/>
      <c r="CX114" s="415"/>
      <c r="CY114" s="415"/>
      <c r="CZ114" s="415"/>
      <c r="DA114" s="415"/>
      <c r="DB114" s="415"/>
      <c r="DC114" s="415"/>
      <c r="DD114" s="415"/>
      <c r="DE114" s="415"/>
      <c r="DF114" s="415"/>
      <c r="DG114" s="415"/>
      <c r="DH114" s="415"/>
      <c r="DI114" s="415"/>
      <c r="DJ114" s="414"/>
      <c r="DK114" s="414"/>
      <c r="DL114" s="414"/>
      <c r="DM114" s="414"/>
      <c r="DN114" s="414"/>
      <c r="DO114" s="414"/>
      <c r="DP114" s="414"/>
      <c r="DQ114" s="414"/>
      <c r="DR114" s="414"/>
      <c r="DS114" s="414"/>
      <c r="DT114" s="414"/>
      <c r="DU114" s="414"/>
      <c r="DV114" s="415"/>
      <c r="DW114" s="415"/>
      <c r="DX114" s="415"/>
      <c r="DY114" s="415"/>
      <c r="DZ114" s="415"/>
      <c r="EA114" s="415"/>
      <c r="EB114" s="415"/>
      <c r="EC114" s="415"/>
      <c r="ED114" s="415"/>
      <c r="EE114" s="415"/>
      <c r="EF114" s="415"/>
      <c r="EG114" s="415"/>
      <c r="EH114" s="415"/>
      <c r="EI114" s="415"/>
      <c r="EJ114" s="415"/>
      <c r="EK114" s="414"/>
      <c r="EL114" s="414"/>
      <c r="EM114" s="414"/>
      <c r="EN114" s="414"/>
      <c r="EO114" s="414"/>
      <c r="EP114" s="414"/>
      <c r="EQ114" s="414"/>
      <c r="ER114" s="414"/>
      <c r="ES114" s="414"/>
      <c r="ET114" s="414"/>
      <c r="EU114" s="414"/>
      <c r="EV114" s="414"/>
      <c r="EW114" s="414"/>
      <c r="EX114" s="414"/>
      <c r="EY114" s="414"/>
      <c r="EZ114" s="414"/>
      <c r="FA114" s="414"/>
      <c r="FB114" s="414"/>
      <c r="FC114" s="414"/>
      <c r="FD114" s="414"/>
      <c r="FE114" s="414"/>
      <c r="FF114" s="414"/>
      <c r="FG114" s="414"/>
      <c r="FH114" s="414"/>
      <c r="FI114" s="415"/>
      <c r="FJ114" s="415"/>
      <c r="FK114" s="415"/>
      <c r="FL114" s="387"/>
      <c r="FM114" s="387"/>
      <c r="FN114" s="387"/>
      <c r="FO114" s="387"/>
      <c r="FP114" s="387"/>
      <c r="FQ114" s="387"/>
      <c r="FR114" s="387"/>
      <c r="FS114" s="387"/>
      <c r="FT114" s="387"/>
      <c r="FU114" s="387"/>
      <c r="FV114" s="387"/>
      <c r="FW114" s="387"/>
      <c r="FX114" s="387"/>
      <c r="FY114" s="387"/>
      <c r="FZ114" s="387"/>
      <c r="GA114" s="387"/>
      <c r="GB114" s="387"/>
      <c r="GC114" s="387"/>
      <c r="GD114" s="387"/>
      <c r="GE114" s="387"/>
      <c r="GF114" s="387"/>
      <c r="GG114" s="387"/>
      <c r="GH114" s="387"/>
      <c r="GI114" s="387"/>
      <c r="GJ114" s="387"/>
      <c r="GK114" s="387"/>
      <c r="GL114" s="387"/>
      <c r="GM114" s="387"/>
      <c r="GN114" s="387"/>
      <c r="GO114" s="387"/>
      <c r="GP114" s="387"/>
      <c r="GQ114" s="387"/>
      <c r="GR114" s="387"/>
      <c r="GS114" s="387"/>
      <c r="GT114" s="387"/>
      <c r="GU114" s="387"/>
      <c r="GV114" s="387"/>
      <c r="GW114" s="387"/>
      <c r="GX114" s="387"/>
      <c r="GY114" s="387"/>
      <c r="GZ114" s="387"/>
      <c r="HA114" s="387"/>
      <c r="HB114" s="387"/>
      <c r="HC114" s="387"/>
      <c r="HD114" s="387"/>
      <c r="HE114" s="387"/>
      <c r="HF114" s="387"/>
      <c r="HG114" s="387"/>
      <c r="HH114" s="387"/>
      <c r="HI114" s="387"/>
      <c r="HJ114" s="387"/>
      <c r="HK114" s="387"/>
      <c r="HL114" s="387"/>
      <c r="HM114" s="387"/>
      <c r="HN114" s="387"/>
      <c r="HO114" s="387"/>
      <c r="HP114" s="387"/>
      <c r="HQ114" s="387"/>
      <c r="HR114" s="387"/>
      <c r="HS114" s="387"/>
      <c r="HT114" s="387"/>
      <c r="HU114" s="387"/>
      <c r="HV114" s="387"/>
      <c r="HW114" s="387"/>
      <c r="HX114" s="387"/>
      <c r="HY114" s="387"/>
      <c r="HZ114" s="387"/>
      <c r="IA114" s="387"/>
      <c r="IB114" s="387"/>
      <c r="IC114" s="387"/>
      <c r="ID114" s="387"/>
      <c r="IE114" s="327"/>
      <c r="IF114" s="327"/>
      <c r="IG114" s="327"/>
      <c r="IH114" s="327"/>
      <c r="II114" s="327"/>
      <c r="IJ114" s="327"/>
      <c r="IK114" s="327"/>
      <c r="IL114" s="327"/>
      <c r="IM114" s="327"/>
      <c r="IN114" s="327"/>
    </row>
    <row r="115" spans="3:248" s="321" customFormat="1" ht="15" x14ac:dyDescent="0.2">
      <c r="C115" s="323"/>
      <c r="D115" s="323"/>
      <c r="E115" s="323"/>
      <c r="F115" s="323"/>
      <c r="G115" s="323"/>
      <c r="H115" s="323"/>
      <c r="I115" s="323"/>
      <c r="J115" s="323"/>
      <c r="K115" s="329"/>
      <c r="L115" s="329"/>
      <c r="M115" s="329"/>
      <c r="N115" s="329"/>
      <c r="AC115" s="410"/>
      <c r="AD115" s="410"/>
      <c r="AE115" s="414"/>
      <c r="AF115" s="414"/>
      <c r="AG115" s="414"/>
      <c r="AH115" s="414"/>
      <c r="AI115" s="414"/>
      <c r="AJ115" s="414"/>
      <c r="AK115" s="414"/>
      <c r="AL115" s="414"/>
      <c r="AM115" s="414"/>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414"/>
      <c r="BI115" s="414"/>
      <c r="BJ115" s="414"/>
      <c r="BK115" s="414"/>
      <c r="BL115" s="414"/>
      <c r="BM115" s="414"/>
      <c r="BN115" s="414"/>
      <c r="BO115" s="414"/>
      <c r="BP115" s="414"/>
      <c r="BQ115" s="414"/>
      <c r="BR115" s="414"/>
      <c r="BS115" s="414"/>
      <c r="BT115" s="414"/>
      <c r="BU115" s="414"/>
      <c r="BV115" s="414"/>
      <c r="BW115" s="436"/>
      <c r="BX115" s="436"/>
      <c r="BY115" s="436"/>
      <c r="BZ115" s="436"/>
      <c r="CA115" s="436"/>
      <c r="CB115" s="436"/>
      <c r="CC115" s="436"/>
      <c r="CD115" s="436"/>
      <c r="CE115" s="436"/>
      <c r="CF115" s="436"/>
      <c r="CG115" s="436"/>
      <c r="CH115" s="436"/>
      <c r="CI115" s="436"/>
      <c r="CJ115" s="436"/>
      <c r="CK115" s="436"/>
      <c r="CL115" s="436"/>
      <c r="CM115" s="436"/>
      <c r="CN115" s="436"/>
      <c r="CO115" s="436"/>
      <c r="CP115" s="436"/>
      <c r="CQ115" s="436"/>
      <c r="CR115" s="436"/>
      <c r="CS115" s="436"/>
      <c r="CT115" s="436"/>
      <c r="CU115" s="414"/>
      <c r="CV115" s="414"/>
      <c r="CW115" s="415"/>
      <c r="CX115" s="415"/>
      <c r="CY115" s="415"/>
      <c r="CZ115" s="415"/>
      <c r="DA115" s="415"/>
      <c r="DB115" s="415"/>
      <c r="DC115" s="415"/>
      <c r="DD115" s="415"/>
      <c r="DE115" s="415"/>
      <c r="DF115" s="415"/>
      <c r="DG115" s="415"/>
      <c r="DH115" s="415"/>
      <c r="DI115" s="415"/>
      <c r="DJ115" s="414"/>
      <c r="DK115" s="414"/>
      <c r="DL115" s="414"/>
      <c r="DM115" s="414"/>
      <c r="DN115" s="414"/>
      <c r="DO115" s="414"/>
      <c r="DP115" s="414"/>
      <c r="DQ115" s="414"/>
      <c r="DR115" s="414"/>
      <c r="DS115" s="414"/>
      <c r="DT115" s="414"/>
      <c r="DU115" s="414"/>
      <c r="DV115" s="415"/>
      <c r="DW115" s="415"/>
      <c r="DX115" s="415"/>
      <c r="DY115" s="415"/>
      <c r="DZ115" s="415"/>
      <c r="EA115" s="415"/>
      <c r="EB115" s="415"/>
      <c r="EC115" s="415"/>
      <c r="ED115" s="415"/>
      <c r="EE115" s="415"/>
      <c r="EF115" s="415"/>
      <c r="EG115" s="415"/>
      <c r="EH115" s="415"/>
      <c r="EI115" s="415"/>
      <c r="EJ115" s="415"/>
      <c r="EK115" s="414"/>
      <c r="EL115" s="414"/>
      <c r="EM115" s="414"/>
      <c r="EN115" s="414"/>
      <c r="EO115" s="414"/>
      <c r="EP115" s="414"/>
      <c r="EQ115" s="414"/>
      <c r="ER115" s="414"/>
      <c r="ES115" s="414"/>
      <c r="ET115" s="414"/>
      <c r="EU115" s="414"/>
      <c r="EV115" s="414"/>
      <c r="EW115" s="414"/>
      <c r="EX115" s="414"/>
      <c r="EY115" s="414"/>
      <c r="EZ115" s="414"/>
      <c r="FA115" s="414"/>
      <c r="FB115" s="414"/>
      <c r="FC115" s="414"/>
      <c r="FD115" s="414"/>
      <c r="FE115" s="414"/>
      <c r="FF115" s="414"/>
      <c r="FG115" s="414"/>
      <c r="FH115" s="414"/>
      <c r="FI115" s="415"/>
      <c r="FJ115" s="415"/>
      <c r="FK115" s="415"/>
      <c r="FL115" s="387"/>
      <c r="FM115" s="387"/>
      <c r="FN115" s="387"/>
      <c r="FO115" s="387"/>
      <c r="FP115" s="387"/>
      <c r="FQ115" s="387"/>
      <c r="FR115" s="387"/>
      <c r="FS115" s="387"/>
      <c r="FT115" s="387"/>
      <c r="FU115" s="387"/>
      <c r="FV115" s="387"/>
      <c r="FW115" s="387"/>
      <c r="FX115" s="387"/>
      <c r="FY115" s="387"/>
      <c r="FZ115" s="387"/>
      <c r="GA115" s="387"/>
      <c r="GB115" s="387"/>
      <c r="GC115" s="387"/>
      <c r="GD115" s="387"/>
      <c r="GE115" s="387"/>
      <c r="GF115" s="387"/>
      <c r="GG115" s="387"/>
      <c r="GH115" s="387"/>
      <c r="GI115" s="387"/>
      <c r="GJ115" s="387"/>
      <c r="GK115" s="387"/>
      <c r="GL115" s="387"/>
      <c r="GM115" s="387"/>
      <c r="GN115" s="387"/>
      <c r="GO115" s="387"/>
      <c r="GP115" s="387"/>
      <c r="GQ115" s="387"/>
      <c r="GR115" s="387"/>
      <c r="GS115" s="387"/>
      <c r="GT115" s="387"/>
      <c r="GU115" s="387"/>
      <c r="GV115" s="387"/>
      <c r="GW115" s="387"/>
      <c r="GX115" s="387"/>
      <c r="GY115" s="387"/>
      <c r="GZ115" s="387"/>
      <c r="HA115" s="387"/>
      <c r="HB115" s="387"/>
      <c r="HC115" s="387"/>
      <c r="HD115" s="387"/>
      <c r="HE115" s="387"/>
      <c r="HF115" s="387"/>
      <c r="HG115" s="387"/>
      <c r="HH115" s="387"/>
      <c r="HI115" s="387"/>
      <c r="HJ115" s="387"/>
      <c r="HK115" s="387"/>
      <c r="HL115" s="387"/>
      <c r="HM115" s="387"/>
      <c r="HN115" s="387"/>
      <c r="HO115" s="387"/>
      <c r="HP115" s="387"/>
      <c r="HQ115" s="387"/>
      <c r="HR115" s="387"/>
      <c r="HS115" s="387"/>
      <c r="HT115" s="387"/>
      <c r="HU115" s="387"/>
      <c r="HV115" s="387"/>
      <c r="HW115" s="387"/>
      <c r="HX115" s="387"/>
      <c r="HY115" s="387"/>
      <c r="HZ115" s="387"/>
      <c r="IA115" s="387"/>
      <c r="IB115" s="387"/>
      <c r="IC115" s="387"/>
      <c r="ID115" s="387"/>
      <c r="IE115" s="327"/>
      <c r="IF115" s="327"/>
      <c r="IG115" s="327"/>
      <c r="IH115" s="327"/>
      <c r="II115" s="327"/>
      <c r="IJ115" s="327"/>
      <c r="IK115" s="327"/>
      <c r="IL115" s="327"/>
      <c r="IM115" s="327"/>
      <c r="IN115" s="327"/>
    </row>
    <row r="116" spans="3:248" s="321" customFormat="1" ht="15" x14ac:dyDescent="0.2">
      <c r="C116" s="323"/>
      <c r="D116" s="323"/>
      <c r="E116" s="323"/>
      <c r="F116" s="323"/>
      <c r="G116" s="323"/>
      <c r="H116" s="323"/>
      <c r="I116" s="323"/>
      <c r="J116" s="323"/>
      <c r="K116" s="329"/>
      <c r="L116" s="329"/>
      <c r="M116" s="329"/>
      <c r="N116" s="329"/>
      <c r="AC116" s="410"/>
      <c r="AD116" s="410"/>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36"/>
      <c r="BX116" s="436"/>
      <c r="BY116" s="436"/>
      <c r="BZ116" s="436"/>
      <c r="CA116" s="436"/>
      <c r="CB116" s="436"/>
      <c r="CC116" s="436"/>
      <c r="CD116" s="436"/>
      <c r="CE116" s="436"/>
      <c r="CF116" s="436"/>
      <c r="CG116" s="436"/>
      <c r="CH116" s="436"/>
      <c r="CI116" s="436"/>
      <c r="CJ116" s="436"/>
      <c r="CK116" s="436"/>
      <c r="CL116" s="436"/>
      <c r="CM116" s="436"/>
      <c r="CN116" s="436"/>
      <c r="CO116" s="436"/>
      <c r="CP116" s="436"/>
      <c r="CQ116" s="436"/>
      <c r="CR116" s="436"/>
      <c r="CS116" s="436"/>
      <c r="CT116" s="436"/>
      <c r="CU116" s="414"/>
      <c r="CV116" s="414"/>
      <c r="CW116" s="415"/>
      <c r="CX116" s="415"/>
      <c r="CY116" s="415"/>
      <c r="CZ116" s="415"/>
      <c r="DA116" s="415"/>
      <c r="DB116" s="415"/>
      <c r="DC116" s="415"/>
      <c r="DD116" s="415"/>
      <c r="DE116" s="415"/>
      <c r="DF116" s="415"/>
      <c r="DG116" s="415"/>
      <c r="DH116" s="415"/>
      <c r="DI116" s="415"/>
      <c r="DJ116" s="414"/>
      <c r="DK116" s="414"/>
      <c r="DL116" s="414"/>
      <c r="DM116" s="414"/>
      <c r="DN116" s="414"/>
      <c r="DO116" s="414"/>
      <c r="DP116" s="414"/>
      <c r="DQ116" s="414"/>
      <c r="DR116" s="414"/>
      <c r="DS116" s="414"/>
      <c r="DT116" s="414"/>
      <c r="DU116" s="414"/>
      <c r="DV116" s="415"/>
      <c r="DW116" s="415"/>
      <c r="DX116" s="415"/>
      <c r="DY116" s="415"/>
      <c r="DZ116" s="415"/>
      <c r="EA116" s="415"/>
      <c r="EB116" s="415"/>
      <c r="EC116" s="415"/>
      <c r="ED116" s="415"/>
      <c r="EE116" s="415"/>
      <c r="EF116" s="415"/>
      <c r="EG116" s="415"/>
      <c r="EH116" s="415"/>
      <c r="EI116" s="415"/>
      <c r="EJ116" s="415"/>
      <c r="EK116" s="414"/>
      <c r="EL116" s="414"/>
      <c r="EM116" s="414"/>
      <c r="EN116" s="414"/>
      <c r="EO116" s="414"/>
      <c r="EP116" s="414"/>
      <c r="EQ116" s="414"/>
      <c r="ER116" s="414"/>
      <c r="ES116" s="414"/>
      <c r="ET116" s="414"/>
      <c r="EU116" s="414"/>
      <c r="EV116" s="414"/>
      <c r="EW116" s="414"/>
      <c r="EX116" s="414"/>
      <c r="EY116" s="414"/>
      <c r="EZ116" s="414"/>
      <c r="FA116" s="414"/>
      <c r="FB116" s="414"/>
      <c r="FC116" s="414"/>
      <c r="FD116" s="414"/>
      <c r="FE116" s="414"/>
      <c r="FF116" s="414"/>
      <c r="FG116" s="414"/>
      <c r="FH116" s="414"/>
      <c r="FI116" s="415"/>
      <c r="FJ116" s="415"/>
      <c r="FK116" s="415"/>
      <c r="FL116" s="387"/>
      <c r="FM116" s="387"/>
      <c r="FN116" s="387"/>
      <c r="FO116" s="387"/>
      <c r="FP116" s="387"/>
      <c r="FQ116" s="387"/>
      <c r="FR116" s="387"/>
      <c r="FS116" s="387"/>
      <c r="FT116" s="387"/>
      <c r="FU116" s="387"/>
      <c r="FV116" s="387"/>
      <c r="FW116" s="387"/>
      <c r="FX116" s="387"/>
      <c r="FY116" s="387"/>
      <c r="FZ116" s="387"/>
      <c r="GA116" s="387"/>
      <c r="GB116" s="387"/>
      <c r="GC116" s="387"/>
      <c r="GD116" s="387"/>
      <c r="GE116" s="387"/>
      <c r="GF116" s="387"/>
      <c r="GG116" s="387"/>
      <c r="GH116" s="387"/>
      <c r="GI116" s="387"/>
      <c r="GJ116" s="387"/>
      <c r="GK116" s="387"/>
      <c r="GL116" s="387"/>
      <c r="GM116" s="387"/>
      <c r="GN116" s="387"/>
      <c r="GO116" s="387"/>
      <c r="GP116" s="387"/>
      <c r="GQ116" s="387"/>
      <c r="GR116" s="387"/>
      <c r="GS116" s="387"/>
      <c r="GT116" s="387"/>
      <c r="GU116" s="387"/>
      <c r="GV116" s="387"/>
      <c r="GW116" s="387"/>
      <c r="GX116" s="387"/>
      <c r="GY116" s="387"/>
      <c r="GZ116" s="387"/>
      <c r="HA116" s="387"/>
      <c r="HB116" s="387"/>
      <c r="HC116" s="387"/>
      <c r="HD116" s="387"/>
      <c r="HE116" s="387"/>
      <c r="HF116" s="387"/>
      <c r="HG116" s="387"/>
      <c r="HH116" s="387"/>
      <c r="HI116" s="387"/>
      <c r="HJ116" s="387"/>
      <c r="HK116" s="387"/>
      <c r="HL116" s="387"/>
      <c r="HM116" s="387"/>
      <c r="HN116" s="387"/>
      <c r="HO116" s="387"/>
      <c r="HP116" s="387"/>
      <c r="HQ116" s="387"/>
      <c r="HR116" s="387"/>
      <c r="HS116" s="387"/>
      <c r="HT116" s="387"/>
      <c r="HU116" s="387"/>
      <c r="HV116" s="387"/>
      <c r="HW116" s="387"/>
      <c r="HX116" s="387"/>
      <c r="HY116" s="387"/>
      <c r="HZ116" s="387"/>
      <c r="IA116" s="387"/>
      <c r="IB116" s="387"/>
      <c r="IC116" s="387"/>
      <c r="ID116" s="387"/>
      <c r="IE116" s="327"/>
      <c r="IF116" s="327"/>
      <c r="IG116" s="327"/>
      <c r="IH116" s="327"/>
      <c r="II116" s="327"/>
      <c r="IJ116" s="327"/>
      <c r="IK116" s="327"/>
      <c r="IL116" s="327"/>
      <c r="IM116" s="327"/>
      <c r="IN116" s="327"/>
    </row>
    <row r="117" spans="3:248" s="321" customFormat="1" ht="18" x14ac:dyDescent="0.25">
      <c r="C117" s="323"/>
      <c r="D117" s="219"/>
      <c r="E117" s="362"/>
      <c r="F117" s="794"/>
      <c r="G117" s="794"/>
      <c r="H117" s="794"/>
      <c r="I117" s="794"/>
      <c r="J117" s="794"/>
      <c r="K117" s="794"/>
      <c r="L117" s="794"/>
      <c r="M117" s="794"/>
      <c r="N117" s="794"/>
      <c r="O117" s="794"/>
      <c r="P117" s="794"/>
      <c r="Q117" s="794"/>
      <c r="R117" s="794"/>
      <c r="S117" s="794"/>
      <c r="T117" s="794"/>
      <c r="U117" s="794"/>
      <c r="V117" s="794"/>
      <c r="W117" s="794"/>
      <c r="X117" s="794"/>
      <c r="Y117" s="794"/>
      <c r="Z117" s="794"/>
      <c r="AA117" s="794"/>
      <c r="AB117" s="323"/>
      <c r="AC117" s="410"/>
      <c r="AD117" s="410"/>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T117" s="414"/>
      <c r="BU117" s="414"/>
      <c r="BV117" s="414"/>
      <c r="BW117" s="436"/>
      <c r="BX117" s="436"/>
      <c r="BY117" s="436"/>
      <c r="BZ117" s="436"/>
      <c r="CA117" s="436"/>
      <c r="CB117" s="436"/>
      <c r="CC117" s="436"/>
      <c r="CD117" s="436"/>
      <c r="CE117" s="436"/>
      <c r="CF117" s="436"/>
      <c r="CG117" s="436"/>
      <c r="CH117" s="436"/>
      <c r="CI117" s="436"/>
      <c r="CJ117" s="436"/>
      <c r="CK117" s="436"/>
      <c r="CL117" s="436"/>
      <c r="CM117" s="436"/>
      <c r="CN117" s="436"/>
      <c r="CO117" s="436"/>
      <c r="CP117" s="436"/>
      <c r="CQ117" s="436"/>
      <c r="CR117" s="436"/>
      <c r="CS117" s="436"/>
      <c r="CT117" s="436"/>
      <c r="CU117" s="414"/>
      <c r="CV117" s="414"/>
      <c r="CW117" s="415"/>
      <c r="CX117" s="415"/>
      <c r="CY117" s="415"/>
      <c r="CZ117" s="415"/>
      <c r="DA117" s="415"/>
      <c r="DB117" s="415"/>
      <c r="DC117" s="415"/>
      <c r="DD117" s="415"/>
      <c r="DE117" s="415"/>
      <c r="DF117" s="415"/>
      <c r="DG117" s="415"/>
      <c r="DH117" s="415"/>
      <c r="DI117" s="415"/>
      <c r="DJ117" s="414"/>
      <c r="DK117" s="414"/>
      <c r="DL117" s="414"/>
      <c r="DM117" s="414"/>
      <c r="DN117" s="414"/>
      <c r="DO117" s="414"/>
      <c r="DP117" s="414"/>
      <c r="DQ117" s="414"/>
      <c r="DR117" s="414"/>
      <c r="DS117" s="414"/>
      <c r="DT117" s="414"/>
      <c r="DU117" s="414"/>
      <c r="DV117" s="415"/>
      <c r="DW117" s="415"/>
      <c r="DX117" s="415"/>
      <c r="DY117" s="415"/>
      <c r="DZ117" s="415"/>
      <c r="EA117" s="415"/>
      <c r="EB117" s="415"/>
      <c r="EC117" s="415"/>
      <c r="ED117" s="415"/>
      <c r="EE117" s="415"/>
      <c r="EF117" s="415"/>
      <c r="EG117" s="415"/>
      <c r="EH117" s="415"/>
      <c r="EI117" s="415"/>
      <c r="EJ117" s="415"/>
      <c r="EK117" s="414"/>
      <c r="EL117" s="414"/>
      <c r="EM117" s="414"/>
      <c r="EN117" s="414"/>
      <c r="EO117" s="414"/>
      <c r="EP117" s="414"/>
      <c r="EQ117" s="414"/>
      <c r="ER117" s="414"/>
      <c r="ES117" s="414"/>
      <c r="ET117" s="414"/>
      <c r="EU117" s="414"/>
      <c r="EV117" s="414"/>
      <c r="EW117" s="414"/>
      <c r="EX117" s="414"/>
      <c r="EY117" s="414"/>
      <c r="EZ117" s="414"/>
      <c r="FA117" s="414"/>
      <c r="FB117" s="414"/>
      <c r="FC117" s="414"/>
      <c r="FD117" s="414"/>
      <c r="FE117" s="414"/>
      <c r="FF117" s="414"/>
      <c r="FG117" s="414"/>
      <c r="FH117" s="414"/>
      <c r="FI117" s="415"/>
      <c r="FJ117" s="415"/>
      <c r="FK117" s="415"/>
      <c r="FL117" s="387"/>
      <c r="FM117" s="387"/>
      <c r="FN117" s="387"/>
      <c r="FO117" s="387"/>
      <c r="FP117" s="387"/>
      <c r="FQ117" s="387"/>
      <c r="FR117" s="387"/>
      <c r="FS117" s="387"/>
      <c r="FT117" s="387"/>
      <c r="FU117" s="387"/>
      <c r="FV117" s="387"/>
      <c r="FW117" s="387"/>
      <c r="FX117" s="387"/>
      <c r="FY117" s="387"/>
      <c r="FZ117" s="387"/>
      <c r="GA117" s="387"/>
      <c r="GB117" s="387"/>
      <c r="GC117" s="387"/>
      <c r="GD117" s="387"/>
      <c r="GE117" s="387"/>
      <c r="GF117" s="387"/>
      <c r="GG117" s="387"/>
      <c r="GH117" s="387"/>
      <c r="GI117" s="387"/>
      <c r="GJ117" s="387"/>
      <c r="GK117" s="387"/>
      <c r="GL117" s="387"/>
      <c r="GM117" s="387"/>
      <c r="GN117" s="387"/>
      <c r="GO117" s="387"/>
      <c r="GP117" s="387"/>
      <c r="GQ117" s="387"/>
      <c r="GR117" s="387"/>
      <c r="GS117" s="387"/>
      <c r="GT117" s="387"/>
      <c r="GU117" s="387"/>
      <c r="GV117" s="387"/>
      <c r="GW117" s="387"/>
      <c r="GX117" s="387"/>
      <c r="GY117" s="387"/>
      <c r="GZ117" s="387"/>
      <c r="HA117" s="387"/>
      <c r="HB117" s="387"/>
      <c r="HC117" s="387"/>
      <c r="HD117" s="387"/>
      <c r="HE117" s="387"/>
      <c r="HF117" s="387"/>
      <c r="HG117" s="387"/>
      <c r="HH117" s="387"/>
      <c r="HI117" s="387"/>
      <c r="HJ117" s="387"/>
      <c r="HK117" s="387"/>
      <c r="HL117" s="387"/>
      <c r="HM117" s="387"/>
      <c r="HN117" s="387"/>
      <c r="HO117" s="387"/>
      <c r="HP117" s="387"/>
      <c r="HQ117" s="387"/>
      <c r="HR117" s="387"/>
      <c r="HS117" s="387"/>
      <c r="HT117" s="387"/>
      <c r="HU117" s="387"/>
      <c r="HV117" s="387"/>
      <c r="HW117" s="387"/>
      <c r="HX117" s="387"/>
      <c r="HY117" s="387"/>
      <c r="HZ117" s="387"/>
      <c r="IA117" s="387"/>
      <c r="IB117" s="387"/>
      <c r="IC117" s="387"/>
      <c r="ID117" s="387"/>
      <c r="IE117" s="327"/>
      <c r="IF117" s="327"/>
      <c r="IG117" s="327"/>
      <c r="IH117" s="327"/>
      <c r="II117" s="327"/>
      <c r="IJ117" s="327"/>
      <c r="IK117" s="327"/>
      <c r="IL117" s="327"/>
      <c r="IM117" s="327"/>
      <c r="IN117" s="327"/>
    </row>
    <row r="118" spans="3:248" ht="18" x14ac:dyDescent="0.25">
      <c r="D118" s="219"/>
      <c r="E118" s="795"/>
      <c r="F118" s="794"/>
      <c r="G118" s="794"/>
      <c r="H118" s="794"/>
      <c r="I118" s="794"/>
      <c r="J118" s="794"/>
      <c r="K118" s="794"/>
      <c r="L118" s="794"/>
      <c r="M118" s="794" t="s">
        <v>3</v>
      </c>
      <c r="N118" s="794"/>
      <c r="O118" s="794"/>
      <c r="P118" s="794"/>
      <c r="Q118" s="794"/>
      <c r="R118" s="794"/>
      <c r="S118" s="794"/>
      <c r="T118" s="794"/>
      <c r="U118" s="794"/>
      <c r="V118" s="794"/>
      <c r="W118" s="794"/>
      <c r="X118" s="794"/>
      <c r="Y118" s="794"/>
      <c r="Z118" s="794"/>
      <c r="AA118" s="794"/>
    </row>
    <row r="119" spans="3:248" x14ac:dyDescent="0.2">
      <c r="D119" s="219"/>
    </row>
    <row r="120" spans="3:248" ht="14.25" x14ac:dyDescent="0.2">
      <c r="D120" s="324"/>
      <c r="F120" s="325"/>
      <c r="G120" s="325"/>
      <c r="H120" s="326"/>
      <c r="I120" s="326"/>
      <c r="J120" s="326"/>
      <c r="K120" s="326"/>
      <c r="L120" s="326"/>
      <c r="M120" s="326"/>
      <c r="N120" s="326"/>
      <c r="O120" s="326"/>
      <c r="P120" s="326"/>
      <c r="Q120" s="326"/>
      <c r="R120" s="326"/>
      <c r="S120" s="326"/>
      <c r="T120" s="326"/>
      <c r="U120" s="326"/>
      <c r="V120" s="326"/>
      <c r="W120" s="326"/>
      <c r="X120" s="326"/>
      <c r="Y120" s="326"/>
      <c r="Z120" s="326"/>
      <c r="AA120" s="326"/>
    </row>
    <row r="121" spans="3:248" ht="14.25" x14ac:dyDescent="0.2">
      <c r="D121" s="324"/>
      <c r="F121" s="325"/>
      <c r="G121" s="325"/>
      <c r="H121" s="326"/>
      <c r="I121" s="326"/>
      <c r="J121" s="326"/>
      <c r="K121" s="326"/>
      <c r="L121" s="326"/>
      <c r="M121" s="326"/>
      <c r="N121" s="326"/>
      <c r="O121" s="326"/>
      <c r="P121" s="326"/>
      <c r="Q121" s="326"/>
      <c r="R121" s="326"/>
      <c r="S121" s="326"/>
      <c r="T121" s="326"/>
      <c r="U121" s="326"/>
      <c r="V121" s="326"/>
      <c r="W121" s="326"/>
      <c r="X121" s="326"/>
      <c r="Y121" s="326"/>
      <c r="Z121" s="326"/>
      <c r="AA121" s="326"/>
    </row>
  </sheetData>
  <sheetProtection algorithmName="SHA-512" hashValue="Gj9pWAPcYNSWvLN07D7vjatxYE9kRahgBMKQlLLvhdM3aXFu69Ue0j4tBp3yvFOvRabU2jJx3QLIbW76Ku5Rww==" saltValue="qq2nm9tgDQMUlnt1Z5obOA==" spinCount="100000" sheet="1" objects="1" scenarios="1"/>
  <mergeCells count="12">
    <mergeCell ref="D74:AB74"/>
    <mergeCell ref="D7:I7"/>
    <mergeCell ref="M7:R7"/>
    <mergeCell ref="B12:B15"/>
    <mergeCell ref="D12:E15"/>
    <mergeCell ref="B67:D67"/>
    <mergeCell ref="B64:D64"/>
    <mergeCell ref="B65:D65"/>
    <mergeCell ref="B66:D66"/>
    <mergeCell ref="B18:E18"/>
    <mergeCell ref="B68:D68"/>
    <mergeCell ref="B69:D69"/>
  </mergeCells>
  <phoneticPr fontId="0" type="noConversion"/>
  <conditionalFormatting sqref="D32:D62 F32:F59 H32:H62 J32:J61 L32:L62 N32:N61 P32:P62 R32:R62 T32:T61 V32:V62 X32:X61 Z32:Z62">
    <cfRule type="expression" dxfId="2" priority="1">
      <formula>IF(AND($K$17&lt;&gt;"",E32&lt;&gt;""),AND(D32&lt;3,E32&gt;$K$17),"")</formula>
    </cfRule>
  </conditionalFormatting>
  <conditionalFormatting sqref="E32:E62 I32:I62 K32:K61 M32:M62 O32:O61 Q32:Q62 S32:S62 U32:U61 W32:W62 Y32:Y61 AA32:AA62 G32:G59">
    <cfRule type="cellIs" dxfId="1" priority="2" operator="lessThan">
      <formula>$K$16</formula>
    </cfRule>
  </conditionalFormatting>
  <conditionalFormatting sqref="D32:D62 F32:F62 H32:H62 J32:J62 L32:L62 N32:N62 P32:P62 R32:R62 T32:T62 V32:V62 X32:X62 Z32:Z62">
    <cfRule type="cellIs" dxfId="0" priority="3" operator="equal">
      <formula>8</formula>
    </cfRule>
  </conditionalFormatting>
  <printOptions horizontalCentered="1" verticalCentered="1"/>
  <pageMargins left="0.56000000000000005" right="0.53" top="0.67" bottom="0.39370078740157483" header="0.39" footer="0.27559055118110237"/>
  <pageSetup paperSize="9" scale="46" orientation="landscape" horizontalDpi="300" verticalDpi="300" r:id="rId1"/>
  <headerFooter alignWithMargins="0">
    <oddHeader xml:space="preserve">&amp;R
 </oddHeader>
    <oddFooter>&amp;L&amp;F&amp;C&amp;A&amp;R&amp;D</oddFooter>
  </headerFooter>
  <colBreaks count="1" manualBreakCount="1">
    <brk id="73" max="1048575" man="1"/>
  </colBreaks>
  <ignoredErrors>
    <ignoredError sqref="EL32:FE61 AV32:BP62 BW32:CQ65 FF32:FF62 BQ32:BR62 CR32:CS62 FG32:FH62 EQ62:FE62 EK62:EP62"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AA61"/>
  <sheetViews>
    <sheetView showGridLines="0" zoomScale="80" zoomScaleNormal="80" workbookViewId="0"/>
  </sheetViews>
  <sheetFormatPr baseColWidth="10" defaultRowHeight="12.75" x14ac:dyDescent="0.2"/>
  <cols>
    <col min="1" max="1" width="2.5703125" customWidth="1"/>
    <col min="2" max="2" width="22.28515625" customWidth="1"/>
    <col min="3" max="3" width="9.7109375" style="6" customWidth="1"/>
    <col min="4" max="4" width="6.85546875" customWidth="1"/>
    <col min="5" max="5" width="6.5703125" style="6" customWidth="1"/>
    <col min="6" max="6" width="10" customWidth="1"/>
    <col min="8" max="8" width="9.42578125" customWidth="1"/>
    <col min="9" max="9" width="2.85546875" customWidth="1"/>
    <col min="10" max="10" width="8.7109375" style="2" customWidth="1"/>
    <col min="11" max="11" width="13.7109375" style="2" customWidth="1"/>
    <col min="12" max="12" width="8.42578125" style="2" customWidth="1"/>
    <col min="13" max="13" width="7.85546875" style="7" customWidth="1"/>
    <col min="14" max="14" width="3.85546875" style="7" customWidth="1"/>
    <col min="15" max="15" width="12.7109375" style="7" customWidth="1"/>
    <col min="16" max="16" width="21.28515625" customWidth="1"/>
    <col min="17" max="17" width="17.42578125" customWidth="1"/>
    <col min="18" max="18" width="11.140625" customWidth="1"/>
    <col min="19" max="19" width="6.28515625" customWidth="1"/>
  </cols>
  <sheetData>
    <row r="1" spans="1:27" ht="6.75" customHeight="1" x14ac:dyDescent="0.2">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27" ht="19.5" customHeight="1" x14ac:dyDescent="0.3">
      <c r="B2" s="303" t="str">
        <f>'JSM Eingabe+TW'!B2</f>
        <v>Ergebnisse der Selbstüberwachung</v>
      </c>
      <c r="C2" s="278"/>
      <c r="D2" s="278"/>
      <c r="E2" s="278"/>
      <c r="F2" s="278"/>
      <c r="G2" s="278"/>
      <c r="H2" s="278"/>
      <c r="I2" s="278"/>
      <c r="J2" s="278"/>
      <c r="K2" s="278"/>
      <c r="L2" s="278"/>
      <c r="M2" s="278"/>
      <c r="N2" s="279"/>
      <c r="O2" s="280"/>
      <c r="P2" s="281"/>
      <c r="Q2" s="280" t="s">
        <v>227</v>
      </c>
      <c r="R2" s="818" t="str">
        <f>IF(LEN('JSM Eingabe+TW'!AB7)&gt;0,'JSM Eingabe+TW'!AB7,"")</f>
        <v/>
      </c>
      <c r="S2" s="210"/>
      <c r="T2" s="210"/>
      <c r="U2" s="210"/>
      <c r="V2" s="210"/>
      <c r="W2" s="210"/>
      <c r="X2" s="279"/>
      <c r="Y2" s="280"/>
    </row>
    <row r="3" spans="1:27" ht="15.75" customHeight="1" x14ac:dyDescent="0.25">
      <c r="A3" s="277"/>
      <c r="B3" s="278"/>
      <c r="C3" s="278"/>
      <c r="D3" s="278"/>
      <c r="E3" s="278"/>
      <c r="F3" s="278"/>
      <c r="G3" s="278"/>
      <c r="H3" s="278"/>
      <c r="I3" s="278"/>
      <c r="J3" s="278"/>
      <c r="K3" s="278"/>
      <c r="L3" s="278"/>
      <c r="M3" s="278"/>
      <c r="N3" s="279"/>
      <c r="O3" s="280"/>
      <c r="P3" s="281"/>
      <c r="Q3" s="281"/>
      <c r="R3" s="294"/>
      <c r="S3" s="307"/>
      <c r="T3" s="307"/>
      <c r="U3" s="307"/>
      <c r="V3" s="307"/>
      <c r="W3" s="307"/>
      <c r="X3" s="308"/>
      <c r="Y3" s="309"/>
    </row>
    <row r="4" spans="1:27" ht="7.5" customHeight="1" x14ac:dyDescent="0.25">
      <c r="A4" s="277"/>
      <c r="B4" s="278"/>
      <c r="C4" s="278"/>
      <c r="D4" s="278"/>
      <c r="E4" s="278"/>
      <c r="F4" s="278"/>
      <c r="G4" s="278"/>
      <c r="H4" s="278"/>
      <c r="I4" s="278"/>
      <c r="J4" s="278"/>
      <c r="K4" s="278"/>
      <c r="L4" s="278"/>
      <c r="M4" s="278"/>
      <c r="N4" s="279"/>
      <c r="O4" s="280"/>
      <c r="P4" s="281"/>
      <c r="Q4" s="281"/>
      <c r="R4" s="281"/>
      <c r="S4" s="310"/>
      <c r="T4" s="310"/>
      <c r="U4" s="307"/>
      <c r="V4" s="307"/>
      <c r="W4" s="307"/>
      <c r="X4" s="307"/>
      <c r="Y4" s="307"/>
    </row>
    <row r="5" spans="1:27" ht="20.25" x14ac:dyDescent="0.3">
      <c r="A5" s="212"/>
      <c r="B5" s="276" t="str">
        <f>'JSM Eingabe+TW'!B5</f>
        <v>Ermittlung der Jahresschmutzwassermenge (JSM) und des Fremdwassers (QF)</v>
      </c>
      <c r="C5" s="282"/>
      <c r="D5" s="283"/>
      <c r="E5" s="283"/>
      <c r="F5" s="284"/>
      <c r="G5" s="284"/>
      <c r="H5" s="284"/>
      <c r="I5" s="284"/>
      <c r="J5" s="284"/>
      <c r="K5" s="284"/>
      <c r="L5" s="284"/>
      <c r="M5" s="284"/>
      <c r="N5" s="284"/>
      <c r="O5" s="285"/>
      <c r="P5" s="286"/>
      <c r="Q5" s="286"/>
      <c r="R5" s="302" t="s">
        <v>162</v>
      </c>
      <c r="S5" s="305"/>
      <c r="T5" s="311"/>
      <c r="U5" s="312"/>
      <c r="V5" s="312"/>
      <c r="W5" s="313"/>
      <c r="X5" s="312"/>
      <c r="Y5" s="311"/>
    </row>
    <row r="6" spans="1:27" ht="6.75" customHeight="1" x14ac:dyDescent="0.25">
      <c r="A6" s="288"/>
      <c r="B6" s="289"/>
      <c r="C6" s="290"/>
      <c r="D6" s="291"/>
      <c r="E6" s="291"/>
      <c r="F6" s="279"/>
      <c r="G6" s="279"/>
      <c r="H6" s="279"/>
      <c r="I6" s="279"/>
      <c r="J6" s="279"/>
      <c r="K6" s="279"/>
      <c r="L6" s="279"/>
      <c r="M6" s="279"/>
      <c r="N6" s="212"/>
      <c r="O6" s="212"/>
      <c r="P6" s="212"/>
      <c r="Q6" s="210"/>
      <c r="R6" s="210"/>
      <c r="S6" s="306"/>
      <c r="T6" s="307"/>
      <c r="U6" s="307"/>
      <c r="V6" s="307"/>
      <c r="W6" s="307"/>
      <c r="X6" s="307"/>
      <c r="Y6" s="307"/>
    </row>
    <row r="7" spans="1:27" ht="18" x14ac:dyDescent="0.2">
      <c r="A7" s="296"/>
      <c r="B7" s="315" t="s">
        <v>228</v>
      </c>
      <c r="C7" s="317" t="str">
        <f>IF(LEN('JSM Eingabe+TW'!D7)&gt;0,'JSM Eingabe+TW'!D7,"")</f>
        <v>Mainz</v>
      </c>
      <c r="D7" s="317"/>
      <c r="E7" s="317"/>
      <c r="F7" s="317"/>
      <c r="G7" s="304"/>
      <c r="I7" s="335" t="s">
        <v>243</v>
      </c>
      <c r="J7" s="317" t="str">
        <f>IF(LEN('JSM Eingabe+TW'!M7)&gt;0,'JSM Eingabe+TW'!M7,"")</f>
        <v/>
      </c>
      <c r="K7" s="317"/>
      <c r="L7" s="317"/>
      <c r="M7" s="317"/>
      <c r="O7" s="304"/>
      <c r="P7" s="304"/>
      <c r="Q7" s="298"/>
      <c r="R7" s="301" t="str">
        <f>'JSM Eingabe+TW'!AB2</f>
        <v>Programmversion 7.3.9</v>
      </c>
      <c r="S7" s="314"/>
      <c r="T7" s="314"/>
      <c r="U7" s="314"/>
      <c r="V7" s="314"/>
      <c r="W7" s="314"/>
      <c r="X7" s="314"/>
      <c r="Y7" s="314"/>
    </row>
    <row r="8" spans="1:27" ht="10.5" customHeight="1" thickBot="1" x14ac:dyDescent="0.25">
      <c r="A8" s="293"/>
      <c r="B8" s="292"/>
      <c r="C8" s="279"/>
      <c r="D8" s="295"/>
      <c r="E8" s="295"/>
      <c r="F8" s="295"/>
      <c r="G8" s="295"/>
      <c r="H8" s="295"/>
      <c r="I8" s="295"/>
      <c r="J8" s="295"/>
      <c r="O8" s="295"/>
      <c r="P8" s="295"/>
      <c r="Q8" s="210"/>
      <c r="R8" s="210"/>
    </row>
    <row r="9" spans="1:27" ht="18.75" thickBot="1" x14ac:dyDescent="0.3">
      <c r="A9" s="212"/>
      <c r="B9" s="515" t="s">
        <v>231</v>
      </c>
      <c r="C9" s="507"/>
      <c r="D9" s="507"/>
      <c r="E9" s="507"/>
      <c r="F9" s="508"/>
      <c r="G9" s="507"/>
      <c r="H9" s="507"/>
      <c r="I9" s="507"/>
      <c r="J9" s="507"/>
      <c r="K9" s="507"/>
      <c r="L9" s="507"/>
      <c r="M9" s="507"/>
      <c r="N9" s="507"/>
      <c r="O9" s="507"/>
      <c r="P9" s="507"/>
      <c r="Q9" s="507"/>
      <c r="R9" s="509"/>
    </row>
    <row r="10" spans="1:27" ht="3" customHeight="1" x14ac:dyDescent="0.25">
      <c r="A10" s="1"/>
      <c r="B10" s="21"/>
      <c r="C10" s="1"/>
      <c r="F10" s="13"/>
      <c r="N10"/>
      <c r="O10"/>
    </row>
    <row r="11" spans="1:27" ht="6" customHeight="1" x14ac:dyDescent="0.25">
      <c r="A11" s="1"/>
      <c r="B11" s="21"/>
      <c r="C11" s="1"/>
      <c r="F11" s="13"/>
      <c r="N11"/>
      <c r="O11"/>
    </row>
    <row r="12" spans="1:27" ht="14.25" customHeight="1" x14ac:dyDescent="0.2">
      <c r="M12"/>
    </row>
    <row r="13" spans="1:27" ht="12.75" customHeight="1" x14ac:dyDescent="0.2">
      <c r="N13"/>
    </row>
    <row r="14" spans="1:27" ht="12" customHeight="1" x14ac:dyDescent="0.2">
      <c r="B14" s="38" t="s">
        <v>26</v>
      </c>
      <c r="C14" s="185" t="str">
        <f>'JSM Eingabe+TW'!AB86</f>
        <v/>
      </c>
      <c r="O14" s="856" t="s">
        <v>207</v>
      </c>
      <c r="P14" s="855" t="s">
        <v>282</v>
      </c>
      <c r="Q14" s="376"/>
    </row>
    <row r="15" spans="1:27" ht="24" customHeight="1" x14ac:dyDescent="0.2">
      <c r="B15" s="178" t="s">
        <v>305</v>
      </c>
      <c r="C15" s="185" t="str">
        <f>'JSM Eingabe+TW'!AB85</f>
        <v/>
      </c>
      <c r="O15" s="856"/>
      <c r="P15" s="855"/>
      <c r="Q15" s="376"/>
    </row>
    <row r="16" spans="1:27" ht="12.75" customHeight="1" x14ac:dyDescent="0.2">
      <c r="B16" s="38" t="s">
        <v>28</v>
      </c>
      <c r="C16" s="51" t="str">
        <f>IFERROR((C14-C15)/(C29^0.5),"")</f>
        <v/>
      </c>
      <c r="N16"/>
      <c r="O16" s="667"/>
      <c r="P16" s="376"/>
      <c r="Q16" s="376"/>
    </row>
    <row r="17" spans="1:20" ht="12.75" customHeight="1" x14ac:dyDescent="0.2">
      <c r="N17"/>
      <c r="O17"/>
    </row>
    <row r="18" spans="1:20" ht="12.75" customHeight="1" x14ac:dyDescent="0.2">
      <c r="N18"/>
      <c r="O18"/>
    </row>
    <row r="19" spans="1:20" ht="12.75" customHeight="1" x14ac:dyDescent="0.2"/>
    <row r="20" spans="1:20" ht="15" customHeight="1" x14ac:dyDescent="0.25">
      <c r="A20" t="s">
        <v>114</v>
      </c>
      <c r="B20" s="18" t="s">
        <v>30</v>
      </c>
      <c r="C20" s="361" t="str">
        <f>C16</f>
        <v/>
      </c>
      <c r="N20" s="859" t="s">
        <v>240</v>
      </c>
      <c r="O20" s="859"/>
      <c r="P20" s="859"/>
      <c r="Q20" s="859"/>
      <c r="R20" s="859"/>
    </row>
    <row r="21" spans="1:20" ht="12.75" customHeight="1" x14ac:dyDescent="0.2">
      <c r="B21" s="858" t="str">
        <f>IF(M45&lt;O45,"Achtung, es werden nicht alle Werte berücksichtigt. Ggf. Klassenbreite ändern"," ")</f>
        <v xml:space="preserve"> </v>
      </c>
      <c r="C21" s="858"/>
      <c r="D21" s="858"/>
      <c r="N21" s="859"/>
      <c r="O21" s="859"/>
      <c r="P21" s="859"/>
      <c r="Q21" s="859"/>
      <c r="R21" s="859"/>
    </row>
    <row r="22" spans="1:20" ht="15" customHeight="1" x14ac:dyDescent="0.2">
      <c r="B22" s="858"/>
      <c r="C22" s="858"/>
      <c r="D22" s="858"/>
      <c r="N22" s="859"/>
      <c r="O22" s="859"/>
      <c r="P22" s="859"/>
      <c r="Q22" s="859"/>
      <c r="R22" s="859"/>
    </row>
    <row r="23" spans="1:20" ht="3.75" customHeight="1" x14ac:dyDescent="0.2">
      <c r="A23" s="13"/>
    </row>
    <row r="24" spans="1:20" ht="13.5" customHeight="1" x14ac:dyDescent="0.2">
      <c r="A24" t="s">
        <v>115</v>
      </c>
      <c r="B24" s="178" t="s">
        <v>91</v>
      </c>
      <c r="C24" s="103" t="str">
        <f>IFERROR(IF(C15-C20/2&lt;0,0,C15-C20/2),"")</f>
        <v/>
      </c>
    </row>
    <row r="25" spans="1:20" ht="15.75" x14ac:dyDescent="0.25">
      <c r="B25" s="84" t="s">
        <v>306</v>
      </c>
      <c r="E25" s="15" t="s">
        <v>9</v>
      </c>
      <c r="F25" s="14" t="s">
        <v>5</v>
      </c>
      <c r="G25" s="14" t="s">
        <v>4</v>
      </c>
      <c r="H25" s="14" t="s">
        <v>6</v>
      </c>
      <c r="I25" s="16"/>
      <c r="J25" s="14" t="s">
        <v>10</v>
      </c>
      <c r="K25" s="14" t="s">
        <v>31</v>
      </c>
      <c r="L25" s="14" t="s">
        <v>7</v>
      </c>
      <c r="N25"/>
      <c r="O25" s="80"/>
      <c r="P25" s="80"/>
      <c r="Q25" s="80"/>
      <c r="R25" s="80"/>
    </row>
    <row r="26" spans="1:20" ht="14.25" x14ac:dyDescent="0.2">
      <c r="D26" s="13"/>
      <c r="E26" s="17">
        <v>1</v>
      </c>
      <c r="F26" s="51" t="str">
        <f>C24</f>
        <v/>
      </c>
      <c r="G26" s="98" t="str">
        <f>IFERROR((F26+H26)/2,"")</f>
        <v/>
      </c>
      <c r="H26" s="51" t="str">
        <f>IFERROR(F26+C20,"")</f>
        <v/>
      </c>
      <c r="I26" s="13"/>
      <c r="J26" s="25">
        <f>COUNTIF('JSM Eingabe+TW'!$AF$32:$AQ$62,"&lt;="&amp;H26)</f>
        <v>0</v>
      </c>
      <c r="K26" s="30">
        <f>J26</f>
        <v>0</v>
      </c>
      <c r="L26" s="31">
        <f t="shared" ref="L26:L46" si="0">RANK(K26,$K$26:$K$46)</f>
        <v>1</v>
      </c>
      <c r="M26" s="52"/>
      <c r="N26" s="53"/>
      <c r="O26" s="53"/>
      <c r="P26" s="54" t="s">
        <v>222</v>
      </c>
      <c r="Q26" s="55">
        <f>LARGE(K26:K46,1)</f>
        <v>0</v>
      </c>
      <c r="R26" s="56"/>
    </row>
    <row r="27" spans="1:20" ht="14.25" x14ac:dyDescent="0.2">
      <c r="B27" s="857" t="str">
        <f>IF(C24&gt;C15,"Achtung, Kleinstwert ist überschritten, korrigieren!"," ")</f>
        <v xml:space="preserve"> </v>
      </c>
      <c r="C27" s="857"/>
      <c r="D27" s="13"/>
      <c r="E27" s="17">
        <v>2</v>
      </c>
      <c r="F27" s="51" t="str">
        <f>IFERROR(H26+1,"")</f>
        <v/>
      </c>
      <c r="G27" s="51" t="str">
        <f t="shared" ref="G27:G46" si="1">IFERROR((F27+H27)/2,"")</f>
        <v/>
      </c>
      <c r="H27" s="51" t="str">
        <f>IFERROR(H26+$C$20,"")</f>
        <v/>
      </c>
      <c r="I27" s="13"/>
      <c r="J27" s="25">
        <f>COUNTIF('JSM Eingabe+TW'!$AF$32:$AQ$62,"&lt;="&amp;H27)</f>
        <v>0</v>
      </c>
      <c r="K27" s="30">
        <f t="shared" ref="K27:K45" si="2">J27-J26</f>
        <v>0</v>
      </c>
      <c r="L27" s="31">
        <f t="shared" si="0"/>
        <v>1</v>
      </c>
      <c r="M27" s="52"/>
      <c r="O27" s="53"/>
      <c r="P27" s="54" t="s">
        <v>8</v>
      </c>
      <c r="Q27" s="57">
        <f>SUMIF(K26:K46,Q26,G26:G46)</f>
        <v>0</v>
      </c>
      <c r="R27" s="56"/>
    </row>
    <row r="28" spans="1:20" ht="16.5" customHeight="1" x14ac:dyDescent="0.2">
      <c r="B28" s="857"/>
      <c r="C28" s="857"/>
      <c r="D28" s="13"/>
      <c r="E28" s="17">
        <v>3</v>
      </c>
      <c r="F28" s="51" t="str">
        <f t="shared" ref="F28:F46" si="3">IFERROR(H27+1,"")</f>
        <v/>
      </c>
      <c r="G28" s="51" t="str">
        <f t="shared" si="1"/>
        <v/>
      </c>
      <c r="H28" s="51" t="str">
        <f t="shared" ref="H28:H47" si="4">IFERROR(H27+$C$20,"")</f>
        <v/>
      </c>
      <c r="I28" s="13"/>
      <c r="J28" s="25">
        <f>COUNTIF('JSM Eingabe+TW'!$AF$32:$AQ$62,"&lt;="&amp;H28)</f>
        <v>0</v>
      </c>
      <c r="K28" s="30">
        <f t="shared" si="2"/>
        <v>0</v>
      </c>
      <c r="L28" s="31">
        <f t="shared" si="0"/>
        <v>1</v>
      </c>
      <c r="M28" s="52"/>
      <c r="N28" s="485" t="s">
        <v>330</v>
      </c>
      <c r="O28" s="27" t="s">
        <v>223</v>
      </c>
      <c r="P28" s="54" t="s">
        <v>2</v>
      </c>
      <c r="Q28" s="88">
        <f>IFERROR(IF(M45=0,0,C30*Q27),0)</f>
        <v>0</v>
      </c>
      <c r="R28" s="56" t="s">
        <v>320</v>
      </c>
    </row>
    <row r="29" spans="1:20" x14ac:dyDescent="0.2">
      <c r="B29" s="59" t="s">
        <v>24</v>
      </c>
      <c r="C29" s="17">
        <f>'JSM Eingabe+TW'!AB84</f>
        <v>0</v>
      </c>
      <c r="D29" s="13"/>
      <c r="E29" s="17">
        <v>4</v>
      </c>
      <c r="F29" s="51" t="str">
        <f t="shared" si="3"/>
        <v/>
      </c>
      <c r="G29" s="51" t="str">
        <f t="shared" si="1"/>
        <v/>
      </c>
      <c r="H29" s="51" t="str">
        <f t="shared" si="4"/>
        <v/>
      </c>
      <c r="I29" s="58"/>
      <c r="J29" s="25">
        <f>COUNTIF('JSM Eingabe+TW'!$AF$32:$AQ$62,"&lt;="&amp;H29)</f>
        <v>0</v>
      </c>
      <c r="K29" s="30">
        <f t="shared" si="2"/>
        <v>0</v>
      </c>
      <c r="L29" s="31">
        <f t="shared" si="0"/>
        <v>1</v>
      </c>
      <c r="M29" s="52"/>
      <c r="N29" s="273" t="s">
        <v>94</v>
      </c>
      <c r="O29" s="53"/>
      <c r="P29" s="50"/>
      <c r="Q29" s="50"/>
      <c r="R29" s="50"/>
    </row>
    <row r="30" spans="1:20" x14ac:dyDescent="0.2">
      <c r="B30" s="38" t="s">
        <v>25</v>
      </c>
      <c r="C30" s="25">
        <v>365</v>
      </c>
      <c r="D30" s="13"/>
      <c r="E30" s="17">
        <v>5</v>
      </c>
      <c r="F30" s="51" t="str">
        <f t="shared" si="3"/>
        <v/>
      </c>
      <c r="G30" s="51" t="str">
        <f t="shared" si="1"/>
        <v/>
      </c>
      <c r="H30" s="51" t="str">
        <f t="shared" si="4"/>
        <v/>
      </c>
      <c r="I30" s="13"/>
      <c r="J30" s="25">
        <f>COUNTIF('JSM Eingabe+TW'!$AF$32:$AQ$62,"&lt;="&amp;H30)</f>
        <v>0</v>
      </c>
      <c r="K30" s="30">
        <f t="shared" si="2"/>
        <v>0</v>
      </c>
      <c r="L30" s="31">
        <f t="shared" si="0"/>
        <v>1</v>
      </c>
      <c r="M30" s="52"/>
      <c r="N30" s="89"/>
      <c r="O30" s="52"/>
      <c r="P30" s="13"/>
      <c r="Q30" s="13"/>
      <c r="R30" s="13"/>
    </row>
    <row r="31" spans="1:20" x14ac:dyDescent="0.2">
      <c r="D31" s="13"/>
      <c r="E31" s="17">
        <v>6</v>
      </c>
      <c r="F31" s="51" t="str">
        <f t="shared" si="3"/>
        <v/>
      </c>
      <c r="G31" s="51" t="str">
        <f t="shared" si="1"/>
        <v/>
      </c>
      <c r="H31" s="51" t="str">
        <f t="shared" si="4"/>
        <v/>
      </c>
      <c r="I31" s="13"/>
      <c r="J31" s="25">
        <f>COUNTIF('JSM Eingabe+TW'!$AF$32:$AQ$62,"&lt;="&amp;H31)</f>
        <v>0</v>
      </c>
      <c r="K31" s="30">
        <f t="shared" si="2"/>
        <v>0</v>
      </c>
      <c r="L31" s="31">
        <f t="shared" si="0"/>
        <v>1</v>
      </c>
      <c r="M31" s="52"/>
      <c r="N31" s="616" t="s">
        <v>303</v>
      </c>
      <c r="P31" s="13"/>
      <c r="Q31" s="13"/>
      <c r="R31" s="13"/>
      <c r="S31" s="9"/>
    </row>
    <row r="32" spans="1:20" x14ac:dyDescent="0.2">
      <c r="B32" s="13"/>
      <c r="C32" s="25"/>
      <c r="D32" s="13"/>
      <c r="E32" s="17">
        <v>7</v>
      </c>
      <c r="F32" s="51" t="str">
        <f t="shared" si="3"/>
        <v/>
      </c>
      <c r="G32" s="51" t="str">
        <f t="shared" si="1"/>
        <v/>
      </c>
      <c r="H32" s="51" t="str">
        <f t="shared" si="4"/>
        <v/>
      </c>
      <c r="I32" s="13"/>
      <c r="J32" s="25">
        <f>COUNTIF('JSM Eingabe+TW'!$AF$32:$AQ$62,"&lt;="&amp;H32)</f>
        <v>0</v>
      </c>
      <c r="K32" s="30">
        <f t="shared" si="2"/>
        <v>0</v>
      </c>
      <c r="L32" s="31">
        <f t="shared" si="0"/>
        <v>1</v>
      </c>
      <c r="M32" s="52"/>
      <c r="S32" s="10"/>
      <c r="T32" s="10"/>
    </row>
    <row r="33" spans="1:20" x14ac:dyDescent="0.2">
      <c r="B33" s="25"/>
      <c r="D33" s="13"/>
      <c r="E33" s="17">
        <v>8</v>
      </c>
      <c r="F33" s="51" t="str">
        <f t="shared" si="3"/>
        <v/>
      </c>
      <c r="G33" s="51" t="str">
        <f t="shared" si="1"/>
        <v/>
      </c>
      <c r="H33" s="51" t="str">
        <f t="shared" si="4"/>
        <v/>
      </c>
      <c r="I33" s="13"/>
      <c r="J33" s="25">
        <f>COUNTIF('JSM Eingabe+TW'!$AF$32:$AQ$62,"&lt;="&amp;H33)</f>
        <v>0</v>
      </c>
      <c r="K33" s="30">
        <f t="shared" si="2"/>
        <v>0</v>
      </c>
      <c r="L33" s="31">
        <f t="shared" si="0"/>
        <v>1</v>
      </c>
      <c r="M33" s="52"/>
      <c r="N33" s="90"/>
      <c r="O33" s="13" t="s">
        <v>76</v>
      </c>
      <c r="P33" s="13"/>
      <c r="Q33" s="60"/>
      <c r="R33" s="60"/>
      <c r="S33" s="10"/>
      <c r="T33" s="10"/>
    </row>
    <row r="34" spans="1:20" x14ac:dyDescent="0.2">
      <c r="B34" s="25"/>
      <c r="C34" s="240"/>
      <c r="D34" s="13"/>
      <c r="E34" s="17">
        <v>9</v>
      </c>
      <c r="F34" s="51" t="str">
        <f t="shared" si="3"/>
        <v/>
      </c>
      <c r="G34" s="51" t="str">
        <f t="shared" si="1"/>
        <v/>
      </c>
      <c r="H34" s="51" t="str">
        <f t="shared" si="4"/>
        <v/>
      </c>
      <c r="I34" s="13"/>
      <c r="J34" s="25">
        <f>COUNTIF('JSM Eingabe+TW'!$AF$32:$AQ$62,"&lt;="&amp;H34)</f>
        <v>0</v>
      </c>
      <c r="K34" s="30">
        <f t="shared" si="2"/>
        <v>0</v>
      </c>
      <c r="L34" s="31">
        <f t="shared" si="0"/>
        <v>1</v>
      </c>
      <c r="M34" s="52"/>
      <c r="N34" s="89"/>
      <c r="O34" s="52"/>
      <c r="P34" s="61" t="s">
        <v>92</v>
      </c>
      <c r="Q34" s="62">
        <f>LARGE(K26:K46,2)</f>
        <v>0</v>
      </c>
      <c r="R34" s="60"/>
      <c r="S34" s="10"/>
      <c r="T34" s="10"/>
    </row>
    <row r="35" spans="1:20" x14ac:dyDescent="0.2">
      <c r="B35" s="25"/>
      <c r="C35" s="31"/>
      <c r="D35" s="13"/>
      <c r="E35" s="17">
        <v>10</v>
      </c>
      <c r="F35" s="51" t="str">
        <f t="shared" si="3"/>
        <v/>
      </c>
      <c r="G35" s="51" t="str">
        <f t="shared" si="1"/>
        <v/>
      </c>
      <c r="H35" s="51" t="str">
        <f t="shared" si="4"/>
        <v/>
      </c>
      <c r="I35" s="13"/>
      <c r="J35" s="25">
        <f>COUNTIF('JSM Eingabe+TW'!$AF$32:$AQ$62,"&lt;="&amp;H35)</f>
        <v>0</v>
      </c>
      <c r="K35" s="30">
        <f t="shared" si="2"/>
        <v>0</v>
      </c>
      <c r="L35" s="31">
        <f t="shared" si="0"/>
        <v>1</v>
      </c>
      <c r="M35" s="52"/>
      <c r="N35" s="89"/>
      <c r="O35" s="52"/>
      <c r="P35" s="61" t="s">
        <v>8</v>
      </c>
      <c r="Q35" s="63">
        <f>SUMIF($K$26:$K$46,Q34,$G$26:$G$46)</f>
        <v>0</v>
      </c>
      <c r="R35" s="60"/>
      <c r="S35" s="10"/>
      <c r="T35" s="10"/>
    </row>
    <row r="36" spans="1:20" ht="15" x14ac:dyDescent="0.2">
      <c r="D36" s="13"/>
      <c r="E36" s="17">
        <v>11</v>
      </c>
      <c r="F36" s="51" t="str">
        <f t="shared" si="3"/>
        <v/>
      </c>
      <c r="G36" s="51" t="str">
        <f t="shared" si="1"/>
        <v/>
      </c>
      <c r="H36" s="51" t="str">
        <f t="shared" si="4"/>
        <v/>
      </c>
      <c r="I36" s="13"/>
      <c r="J36" s="25">
        <f>COUNTIF('JSM Eingabe+TW'!$AF$32:$AQ$62,"&lt;="&amp;H36)</f>
        <v>0</v>
      </c>
      <c r="K36" s="30">
        <f t="shared" si="2"/>
        <v>0</v>
      </c>
      <c r="L36" s="31">
        <f t="shared" si="0"/>
        <v>1</v>
      </c>
      <c r="M36" s="52"/>
      <c r="N36" s="485" t="s">
        <v>3</v>
      </c>
      <c r="O36" s="27" t="s">
        <v>223</v>
      </c>
      <c r="P36" s="64" t="s">
        <v>2</v>
      </c>
      <c r="Q36" s="65">
        <f>IFERROR(($Q26*$Q27+$Q34*$Q35)/($Q26+$Q34)*C30,0)</f>
        <v>0</v>
      </c>
      <c r="R36" s="60" t="s">
        <v>321</v>
      </c>
      <c r="S36" s="10"/>
      <c r="T36" s="10"/>
    </row>
    <row r="37" spans="1:20" x14ac:dyDescent="0.2">
      <c r="D37" s="13"/>
      <c r="E37" s="17">
        <v>12</v>
      </c>
      <c r="F37" s="51" t="str">
        <f t="shared" si="3"/>
        <v/>
      </c>
      <c r="G37" s="51" t="str">
        <f t="shared" si="1"/>
        <v/>
      </c>
      <c r="H37" s="51" t="str">
        <f t="shared" si="4"/>
        <v/>
      </c>
      <c r="I37" s="13"/>
      <c r="J37" s="25">
        <f>COUNTIF('JSM Eingabe+TW'!$AF$32:$AQ$62,"&lt;="&amp;H37)</f>
        <v>0</v>
      </c>
      <c r="K37" s="30">
        <f t="shared" si="2"/>
        <v>0</v>
      </c>
      <c r="L37" s="31">
        <f t="shared" si="0"/>
        <v>1</v>
      </c>
      <c r="M37" s="52"/>
      <c r="N37" s="90"/>
      <c r="O37" s="49"/>
      <c r="P37" s="13"/>
      <c r="Q37" s="13"/>
      <c r="R37" s="13"/>
      <c r="S37" s="10"/>
      <c r="T37" s="10"/>
    </row>
    <row r="38" spans="1:20" x14ac:dyDescent="0.2">
      <c r="D38" s="13"/>
      <c r="E38" s="17">
        <v>13</v>
      </c>
      <c r="F38" s="51" t="str">
        <f t="shared" si="3"/>
        <v/>
      </c>
      <c r="G38" s="51" t="str">
        <f t="shared" si="1"/>
        <v/>
      </c>
      <c r="H38" s="51" t="str">
        <f t="shared" si="4"/>
        <v/>
      </c>
      <c r="I38" s="13"/>
      <c r="J38" s="25">
        <f>COUNTIF('JSM Eingabe+TW'!$AF$32:$AQ$62,"&lt;="&amp;H38)</f>
        <v>0</v>
      </c>
      <c r="K38" s="30">
        <f t="shared" si="2"/>
        <v>0</v>
      </c>
      <c r="L38" s="31">
        <f t="shared" si="0"/>
        <v>1</v>
      </c>
      <c r="M38" s="52"/>
      <c r="N38" s="89"/>
      <c r="O38" s="66" t="s">
        <v>77</v>
      </c>
      <c r="P38" s="50"/>
      <c r="Q38" s="67"/>
      <c r="R38" s="22"/>
      <c r="S38" s="10"/>
      <c r="T38" s="10"/>
    </row>
    <row r="39" spans="1:20" x14ac:dyDescent="0.2">
      <c r="D39" s="13"/>
      <c r="E39" s="17">
        <v>14</v>
      </c>
      <c r="F39" s="51" t="str">
        <f t="shared" si="3"/>
        <v/>
      </c>
      <c r="G39" s="51" t="str">
        <f t="shared" si="1"/>
        <v/>
      </c>
      <c r="H39" s="51" t="str">
        <f t="shared" si="4"/>
        <v/>
      </c>
      <c r="I39" s="13"/>
      <c r="J39" s="25">
        <f>COUNTIF('JSM Eingabe+TW'!$AF$32:$AQ$62,"&lt;="&amp;H39)</f>
        <v>0</v>
      </c>
      <c r="K39" s="30">
        <f t="shared" si="2"/>
        <v>0</v>
      </c>
      <c r="L39" s="31">
        <f t="shared" si="0"/>
        <v>1</v>
      </c>
      <c r="M39" s="52"/>
      <c r="N39" s="89"/>
      <c r="O39" s="53"/>
      <c r="P39" s="18" t="s">
        <v>298</v>
      </c>
      <c r="Q39" s="68">
        <f>LARGE($K$26:$K$46,3)</f>
        <v>0</v>
      </c>
      <c r="R39" s="22"/>
      <c r="S39" s="10"/>
      <c r="T39" s="10"/>
    </row>
    <row r="40" spans="1:20" x14ac:dyDescent="0.2">
      <c r="B40" s="25"/>
      <c r="C40" s="48"/>
      <c r="D40" s="13"/>
      <c r="E40" s="17">
        <v>15</v>
      </c>
      <c r="F40" s="51" t="str">
        <f t="shared" si="3"/>
        <v/>
      </c>
      <c r="G40" s="51" t="str">
        <f t="shared" si="1"/>
        <v/>
      </c>
      <c r="H40" s="51" t="str">
        <f t="shared" si="4"/>
        <v/>
      </c>
      <c r="I40" s="13"/>
      <c r="J40" s="25">
        <f>COUNTIF('JSM Eingabe+TW'!$AF$32:$AQ$62,"&lt;="&amp;H40)</f>
        <v>0</v>
      </c>
      <c r="K40" s="30">
        <f t="shared" si="2"/>
        <v>0</v>
      </c>
      <c r="L40" s="31">
        <f t="shared" si="0"/>
        <v>1</v>
      </c>
      <c r="M40" s="52"/>
      <c r="N40" s="89"/>
      <c r="O40" s="53"/>
      <c r="P40" s="18" t="s">
        <v>8</v>
      </c>
      <c r="Q40" s="69">
        <f>SUMIF($K$26:$K$46,Q39,$G$26:$G$46)</f>
        <v>0</v>
      </c>
      <c r="R40" s="22"/>
      <c r="S40" s="11"/>
      <c r="T40" s="10"/>
    </row>
    <row r="41" spans="1:20" ht="15" x14ac:dyDescent="0.2">
      <c r="B41" s="25"/>
      <c r="C41" s="48"/>
      <c r="D41" s="13"/>
      <c r="E41" s="17">
        <v>16</v>
      </c>
      <c r="F41" s="51" t="str">
        <f t="shared" si="3"/>
        <v/>
      </c>
      <c r="G41" s="51" t="str">
        <f t="shared" si="1"/>
        <v/>
      </c>
      <c r="H41" s="51" t="str">
        <f t="shared" si="4"/>
        <v/>
      </c>
      <c r="I41" s="13"/>
      <c r="J41" s="25">
        <f>COUNTIF('JSM Eingabe+TW'!$AF$32:$AQ$62,"&lt;="&amp;H41)</f>
        <v>0</v>
      </c>
      <c r="K41" s="30">
        <f t="shared" si="2"/>
        <v>0</v>
      </c>
      <c r="L41" s="31">
        <f t="shared" si="0"/>
        <v>1</v>
      </c>
      <c r="M41" s="52"/>
      <c r="N41" s="485"/>
      <c r="O41" s="27" t="s">
        <v>223</v>
      </c>
      <c r="P41" s="70" t="s">
        <v>2</v>
      </c>
      <c r="Q41" s="71">
        <f>IFERROR(($Q$26*$Q$27+$Q$34*Q$35+Q$39*Q$40)/($Q$26+$Q$34+$Q$39)*C30,0)</f>
        <v>0</v>
      </c>
      <c r="R41" s="22" t="s">
        <v>321</v>
      </c>
      <c r="S41" s="10"/>
      <c r="T41" s="10"/>
    </row>
    <row r="42" spans="1:20" x14ac:dyDescent="0.2">
      <c r="B42" s="25"/>
      <c r="C42" s="48"/>
      <c r="D42" s="13"/>
      <c r="E42" s="17">
        <v>17</v>
      </c>
      <c r="F42" s="51" t="str">
        <f t="shared" si="3"/>
        <v/>
      </c>
      <c r="G42" s="51" t="str">
        <f t="shared" si="1"/>
        <v/>
      </c>
      <c r="H42" s="51" t="str">
        <f t="shared" si="4"/>
        <v/>
      </c>
      <c r="I42" s="13"/>
      <c r="J42" s="25">
        <f>COUNTIF('JSM Eingabe+TW'!$AF$32:$AQ$62,"&lt;="&amp;H42)</f>
        <v>0</v>
      </c>
      <c r="K42" s="30">
        <f t="shared" si="2"/>
        <v>0</v>
      </c>
      <c r="L42" s="31">
        <f t="shared" si="0"/>
        <v>1</v>
      </c>
      <c r="M42" s="52"/>
      <c r="R42" s="13"/>
      <c r="S42" s="10"/>
      <c r="T42" s="10"/>
    </row>
    <row r="43" spans="1:20" x14ac:dyDescent="0.2">
      <c r="B43" s="25"/>
      <c r="C43" s="48"/>
      <c r="D43" s="13"/>
      <c r="E43" s="17">
        <v>18</v>
      </c>
      <c r="F43" s="51" t="str">
        <f t="shared" si="3"/>
        <v/>
      </c>
      <c r="G43" s="51" t="str">
        <f t="shared" si="1"/>
        <v/>
      </c>
      <c r="H43" s="51" t="str">
        <f t="shared" si="4"/>
        <v/>
      </c>
      <c r="I43" s="13"/>
      <c r="J43" s="25">
        <f>COUNTIF('JSM Eingabe+TW'!$AF$32:$AQ$62,"&lt;="&amp;H43)</f>
        <v>0</v>
      </c>
      <c r="K43" s="30">
        <f t="shared" si="2"/>
        <v>0</v>
      </c>
      <c r="L43" s="31">
        <f t="shared" si="0"/>
        <v>1</v>
      </c>
      <c r="M43" s="52"/>
      <c r="R43" s="60"/>
      <c r="S43" s="12"/>
      <c r="T43" s="10"/>
    </row>
    <row r="44" spans="1:20" ht="15.75" x14ac:dyDescent="0.25">
      <c r="A44" s="16"/>
      <c r="B44" s="93"/>
      <c r="C44" s="94" t="s">
        <v>29</v>
      </c>
      <c r="D44" s="102">
        <f>ROUNDUP(C29^(1/2),0)</f>
        <v>0</v>
      </c>
      <c r="E44" s="17">
        <v>19</v>
      </c>
      <c r="F44" s="95" t="str">
        <f t="shared" si="3"/>
        <v/>
      </c>
      <c r="G44" s="95" t="str">
        <f t="shared" si="1"/>
        <v/>
      </c>
      <c r="H44" s="95" t="str">
        <f t="shared" si="4"/>
        <v/>
      </c>
      <c r="I44" s="50"/>
      <c r="J44" s="25">
        <f>COUNTIF('JSM Eingabe+TW'!$AF$32:$AQ$62,"&lt;="&amp;H44)</f>
        <v>0</v>
      </c>
      <c r="K44" s="87">
        <f t="shared" si="2"/>
        <v>0</v>
      </c>
      <c r="L44" s="96">
        <f t="shared" si="0"/>
        <v>1</v>
      </c>
      <c r="M44" s="97"/>
      <c r="R44" s="22"/>
      <c r="S44" s="10"/>
      <c r="T44" s="10"/>
    </row>
    <row r="45" spans="1:20" ht="14.25" x14ac:dyDescent="0.2">
      <c r="B45" s="860" t="str">
        <f>IF(D44&gt;20,"Achtung, Klassenanzahl anpassen!",IF(D44&lt;20,"Prüfen, ob alle Messungen in den berücksichtigten Klassen enthalten sind. Ggf. 1) oder 2) ändern. ",""))</f>
        <v xml:space="preserve">Prüfen, ob alle Messungen in den berücksichtigten Klassen enthalten sind. Ggf. 1) oder 2) ändern. </v>
      </c>
      <c r="C45" s="860"/>
      <c r="D45" s="860"/>
      <c r="E45" s="28">
        <v>20</v>
      </c>
      <c r="F45" s="72" t="str">
        <f t="shared" si="3"/>
        <v/>
      </c>
      <c r="G45" s="72" t="str">
        <f t="shared" si="1"/>
        <v/>
      </c>
      <c r="H45" s="72" t="str">
        <f t="shared" si="4"/>
        <v/>
      </c>
      <c r="I45" s="73"/>
      <c r="J45" s="28">
        <f>COUNTIF('JSM Eingabe+TW'!$AF$32:$AQ$62,"&lt;="&amp;H45)</f>
        <v>0</v>
      </c>
      <c r="K45" s="74">
        <f t="shared" si="2"/>
        <v>0</v>
      </c>
      <c r="L45" s="75">
        <f t="shared" si="0"/>
        <v>1</v>
      </c>
      <c r="M45" s="99">
        <f>SUM(K26:K45)</f>
        <v>0</v>
      </c>
      <c r="N45" s="617" t="s">
        <v>5</v>
      </c>
      <c r="O45" s="99">
        <f>C$29</f>
        <v>0</v>
      </c>
      <c r="P45" s="66" t="s">
        <v>38</v>
      </c>
      <c r="S45" s="10"/>
      <c r="T45" s="10"/>
    </row>
    <row r="46" spans="1:20" ht="14.25" x14ac:dyDescent="0.2">
      <c r="B46" s="860"/>
      <c r="C46" s="860"/>
      <c r="D46" s="860"/>
      <c r="E46" s="77">
        <v>21</v>
      </c>
      <c r="F46" s="76" t="str">
        <f t="shared" si="3"/>
        <v/>
      </c>
      <c r="G46" s="76" t="str">
        <f t="shared" si="1"/>
        <v/>
      </c>
      <c r="H46" s="76" t="str">
        <f t="shared" si="4"/>
        <v/>
      </c>
      <c r="I46" s="49"/>
      <c r="J46" s="109">
        <f>COUNTIF('JSM Eingabe+TW'!$AF$32:$AQ$62,"&lt;="&amp;H46)</f>
        <v>0</v>
      </c>
      <c r="K46" s="77">
        <f>J46-J45</f>
        <v>0</v>
      </c>
      <c r="L46" s="77">
        <f t="shared" si="0"/>
        <v>1</v>
      </c>
      <c r="M46" s="100"/>
      <c r="N46" s="101"/>
      <c r="O46" s="100"/>
      <c r="P46" s="66"/>
      <c r="S46" s="10"/>
      <c r="T46" s="10"/>
    </row>
    <row r="47" spans="1:20" ht="4.5" customHeight="1" thickBot="1" x14ac:dyDescent="0.25">
      <c r="B47" s="860"/>
      <c r="C47" s="860"/>
      <c r="D47" s="860"/>
      <c r="F47" s="8"/>
      <c r="G47" s="8"/>
      <c r="H47" s="8" t="str">
        <f t="shared" si="4"/>
        <v/>
      </c>
      <c r="J47" s="25"/>
      <c r="K47" s="33"/>
      <c r="S47" s="10"/>
      <c r="T47" s="10"/>
    </row>
    <row r="48" spans="1:20" ht="26.25" customHeight="1" thickBot="1" x14ac:dyDescent="0.25">
      <c r="B48" s="860"/>
      <c r="C48" s="860"/>
      <c r="D48" s="860"/>
      <c r="M48" s="318" t="s">
        <v>221</v>
      </c>
      <c r="N48" s="516"/>
      <c r="O48" s="517"/>
      <c r="P48" s="518" t="s">
        <v>89</v>
      </c>
      <c r="Q48" s="519">
        <f>'JSM Ergebnis'!H15</f>
        <v>0</v>
      </c>
      <c r="R48" s="520" t="s">
        <v>322</v>
      </c>
      <c r="T48" s="10"/>
    </row>
    <row r="49" spans="2:20" ht="15" customHeight="1" x14ac:dyDescent="0.2">
      <c r="B49" s="392" t="s">
        <v>60</v>
      </c>
      <c r="T49" s="10"/>
    </row>
    <row r="50" spans="2:20" ht="15.75" customHeight="1" x14ac:dyDescent="0.2">
      <c r="B50" s="854"/>
      <c r="C50" s="854"/>
      <c r="D50" s="854"/>
      <c r="E50" s="854"/>
      <c r="F50" s="854"/>
      <c r="G50" s="854"/>
      <c r="H50" s="854"/>
      <c r="I50" s="854"/>
      <c r="J50" s="854"/>
      <c r="K50" s="854"/>
      <c r="L50" s="854"/>
      <c r="M50" s="854"/>
      <c r="N50" s="854"/>
      <c r="O50" s="854"/>
      <c r="P50" s="854"/>
      <c r="Q50" s="854"/>
      <c r="R50" s="854"/>
      <c r="T50" s="10"/>
    </row>
    <row r="51" spans="2:20" x14ac:dyDescent="0.2">
      <c r="S51" s="10"/>
      <c r="T51" s="10"/>
    </row>
    <row r="52" spans="2:20" ht="14.25" customHeight="1" x14ac:dyDescent="0.2">
      <c r="S52" s="10"/>
      <c r="T52" s="10"/>
    </row>
    <row r="53" spans="2:20" x14ac:dyDescent="0.2">
      <c r="T53" s="10"/>
    </row>
    <row r="54" spans="2:20" x14ac:dyDescent="0.2">
      <c r="S54" s="10"/>
      <c r="T54" s="10"/>
    </row>
    <row r="55" spans="2:20" x14ac:dyDescent="0.2">
      <c r="S55" s="10"/>
      <c r="T55" s="10"/>
    </row>
    <row r="56" spans="2:20" x14ac:dyDescent="0.2">
      <c r="S56" s="10"/>
      <c r="T56" s="10"/>
    </row>
    <row r="57" spans="2:20" ht="15" customHeight="1" x14ac:dyDescent="0.2">
      <c r="S57" s="10"/>
      <c r="T57" s="10"/>
    </row>
    <row r="58" spans="2:20" x14ac:dyDescent="0.2">
      <c r="S58" s="10"/>
      <c r="T58" s="10"/>
    </row>
    <row r="59" spans="2:20" x14ac:dyDescent="0.2">
      <c r="S59" s="10"/>
      <c r="T59" s="10"/>
    </row>
    <row r="60" spans="2:20" x14ac:dyDescent="0.2">
      <c r="S60" s="10"/>
      <c r="T60" s="10"/>
    </row>
    <row r="61" spans="2:20" x14ac:dyDescent="0.2">
      <c r="P61" s="10"/>
      <c r="Q61" s="10"/>
      <c r="R61" s="10"/>
      <c r="S61" s="10"/>
      <c r="T61" s="10"/>
    </row>
  </sheetData>
  <sheetProtection algorithmName="SHA-512" hashValue="zvfaGzTTasB/2rCYSTjKL35LlW3MI3jDotPHhGi612uApau8XeRNSilZfbo24zztueCUzwS8gdjCJ7X0quozmQ==" saltValue="J7TlPtCzI+G8hT3kTWNHtQ==" spinCount="100000" sheet="1" objects="1" scenarios="1"/>
  <mergeCells count="7">
    <mergeCell ref="B50:R50"/>
    <mergeCell ref="P14:P15"/>
    <mergeCell ref="O14:O15"/>
    <mergeCell ref="B27:C28"/>
    <mergeCell ref="B21:D22"/>
    <mergeCell ref="N20:R22"/>
    <mergeCell ref="B45:D48"/>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8" orientation="landscape" horizontalDpi="300" verticalDpi="300" r:id="rId1"/>
  <headerFooter alignWithMargins="0">
    <oddHeader xml:space="preserve">&amp;L
</oddHeader>
    <oddFooter>&amp;L&amp;F&amp;C&amp;A&amp;R&amp;D</oddFooter>
  </headerFooter>
  <ignoredErrors>
    <ignoredError sqref="C20" unlockedFormula="1"/>
    <ignoredError sqref="B27 Q27 Q35 Q40"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FU542"/>
  <sheetViews>
    <sheetView showGridLines="0" zoomScale="90" zoomScaleNormal="90" workbookViewId="0"/>
  </sheetViews>
  <sheetFormatPr baseColWidth="10" defaultRowHeight="12.75" x14ac:dyDescent="0.2"/>
  <cols>
    <col min="1" max="1" width="2" customWidth="1"/>
    <col min="2" max="2" width="9" customWidth="1"/>
    <col min="3" max="3" width="14" customWidth="1"/>
    <col min="4" max="4" width="14.5703125" style="2" customWidth="1"/>
    <col min="5" max="5" width="18.7109375" style="2" customWidth="1"/>
    <col min="6" max="6" width="16.28515625" style="2" customWidth="1"/>
    <col min="7" max="7" width="14.85546875" style="2" customWidth="1"/>
    <col min="8" max="8" width="12.85546875" style="2" customWidth="1"/>
    <col min="9" max="9" width="10.42578125" style="2" customWidth="1"/>
    <col min="10" max="10" width="12.5703125" style="2" customWidth="1"/>
    <col min="11" max="11" width="1.140625" customWidth="1"/>
    <col min="12" max="12" width="0.85546875" customWidth="1"/>
    <col min="13" max="13" width="11.85546875" customWidth="1"/>
    <col min="14" max="14" width="9.7109375" customWidth="1"/>
    <col min="15" max="15" width="13" customWidth="1"/>
    <col min="16" max="16" width="7.28515625" customWidth="1"/>
    <col min="17" max="17" width="10.85546875" style="235" customWidth="1"/>
    <col min="18" max="18" width="7.28515625" style="235" customWidth="1"/>
    <col min="19" max="19" width="2.42578125" style="235" customWidth="1"/>
    <col min="20" max="20" width="10.42578125" style="235" customWidth="1"/>
    <col min="21" max="21" width="7.5703125" style="235" customWidth="1"/>
    <col min="22" max="22" width="6.28515625" style="235" customWidth="1"/>
    <col min="23" max="27" width="11.42578125" style="258"/>
    <col min="28" max="177" width="11.42578125" style="235"/>
  </cols>
  <sheetData>
    <row r="1" spans="1:177" ht="9" customHeight="1" x14ac:dyDescent="0.2">
      <c r="D1"/>
      <c r="E1"/>
      <c r="F1"/>
      <c r="G1"/>
      <c r="H1"/>
      <c r="Q1"/>
      <c r="R1" s="170"/>
    </row>
    <row r="2" spans="1:177" ht="20.25" x14ac:dyDescent="0.3">
      <c r="B2" s="303" t="str">
        <f>'JSM Eingabe+TW'!B2</f>
        <v>Ergebnisse der Selbstüberwachung</v>
      </c>
      <c r="C2" s="278"/>
      <c r="D2" s="278"/>
      <c r="E2" s="278"/>
      <c r="F2" s="278"/>
      <c r="G2" s="278"/>
      <c r="H2" s="278"/>
      <c r="I2" s="278"/>
      <c r="J2" s="278"/>
      <c r="K2" s="278"/>
      <c r="L2" s="278"/>
      <c r="N2" s="280" t="s">
        <v>227</v>
      </c>
      <c r="O2" s="818" t="str">
        <f>IF(LEN('JSM Eingabe+TW'!AB7)&gt;0,'JSM Eingabe+TW'!AB7,"")</f>
        <v/>
      </c>
      <c r="P2" s="278"/>
    </row>
    <row r="3" spans="1:177" ht="15.75" x14ac:dyDescent="0.25">
      <c r="B3" s="278"/>
      <c r="C3" s="278"/>
      <c r="D3" s="278"/>
      <c r="E3" s="278"/>
      <c r="F3" s="278"/>
      <c r="G3" s="278"/>
      <c r="H3" s="278"/>
      <c r="I3" s="278"/>
      <c r="J3" s="278"/>
      <c r="K3" s="278"/>
      <c r="L3" s="278"/>
      <c r="M3" s="278"/>
      <c r="N3" s="278"/>
      <c r="O3" s="278"/>
      <c r="P3" s="278"/>
      <c r="Q3" s="278"/>
      <c r="R3" s="281"/>
    </row>
    <row r="4" spans="1:177" ht="12" customHeight="1" x14ac:dyDescent="0.25">
      <c r="B4" s="278"/>
      <c r="C4" s="278"/>
      <c r="D4" s="278"/>
      <c r="E4" s="278"/>
      <c r="F4" s="278"/>
      <c r="G4" s="278"/>
      <c r="H4" s="278"/>
      <c r="I4" s="278"/>
      <c r="J4" s="278"/>
      <c r="K4" s="278"/>
      <c r="L4" s="278"/>
      <c r="M4" s="278"/>
      <c r="N4" s="278"/>
      <c r="O4" s="278"/>
      <c r="P4" s="278"/>
      <c r="Q4" s="278"/>
      <c r="R4" s="281"/>
    </row>
    <row r="5" spans="1:177" ht="19.5" customHeight="1" x14ac:dyDescent="0.3">
      <c r="B5" s="276" t="str">
        <f>'JSM Eingabe+TW'!B5</f>
        <v>Ermittlung der Jahresschmutzwassermenge (JSM) und des Fremdwassers (QF)</v>
      </c>
      <c r="C5" s="282"/>
      <c r="D5" s="283"/>
      <c r="E5" s="283"/>
      <c r="F5" s="284"/>
      <c r="G5" s="284"/>
      <c r="H5" s="284"/>
      <c r="I5" s="284"/>
      <c r="J5" s="284"/>
      <c r="K5" s="284"/>
      <c r="L5" s="284"/>
      <c r="M5" s="284"/>
      <c r="N5" s="284"/>
      <c r="O5" s="302" t="s">
        <v>241</v>
      </c>
      <c r="P5" s="279"/>
      <c r="Q5" s="279"/>
    </row>
    <row r="6" spans="1:177" ht="10.5" customHeight="1" x14ac:dyDescent="0.2">
      <c r="B6" s="289"/>
      <c r="C6" s="290"/>
      <c r="D6" s="291"/>
      <c r="E6" s="291"/>
      <c r="F6" s="279"/>
      <c r="G6" s="279"/>
      <c r="H6" s="279"/>
      <c r="I6" s="279"/>
      <c r="J6" s="279"/>
      <c r="K6" s="279"/>
      <c r="L6" s="279"/>
      <c r="M6" s="279"/>
      <c r="N6" s="279"/>
      <c r="O6" s="279"/>
      <c r="P6" s="279"/>
      <c r="Q6" s="279"/>
      <c r="R6" s="210"/>
    </row>
    <row r="7" spans="1:177" ht="15.75" x14ac:dyDescent="0.2">
      <c r="C7" s="315" t="s">
        <v>228</v>
      </c>
      <c r="D7" s="317" t="str">
        <f>IF(LEN('JSM Eingabe+TW'!D7)&gt;0,'JSM Eingabe+TW'!D7,"")</f>
        <v>Mainz</v>
      </c>
      <c r="F7" s="317"/>
      <c r="G7" s="335" t="s">
        <v>242</v>
      </c>
      <c r="H7" s="317" t="str">
        <f>IF(LEN('JSM Eingabe+TW'!M7)&gt;0,'JSM Eingabe+TW'!M7,"")</f>
        <v/>
      </c>
      <c r="K7" s="317"/>
      <c r="L7" s="317"/>
      <c r="M7" s="317"/>
      <c r="N7" s="317"/>
      <c r="O7" s="642" t="str">
        <f>'JSM Eingabe+TW'!AB2</f>
        <v>Programmversion 7.3.9</v>
      </c>
      <c r="P7" s="317"/>
      <c r="Q7" s="317"/>
      <c r="R7" s="301"/>
    </row>
    <row r="8" spans="1:177" ht="9" customHeight="1" thickBot="1" x14ac:dyDescent="0.25">
      <c r="B8" s="292"/>
      <c r="C8" s="279"/>
      <c r="D8" s="295"/>
      <c r="E8" s="295"/>
      <c r="F8" s="295"/>
      <c r="G8" s="295"/>
      <c r="H8" s="295"/>
      <c r="I8" s="295"/>
      <c r="J8" s="295"/>
      <c r="K8" s="2"/>
      <c r="L8" s="2"/>
      <c r="M8" s="2"/>
      <c r="N8" s="2"/>
      <c r="O8" s="2"/>
      <c r="P8" s="2"/>
      <c r="Q8" s="2"/>
      <c r="R8" s="210"/>
    </row>
    <row r="9" spans="1:177" ht="18.75" thickBot="1" x14ac:dyDescent="0.3">
      <c r="B9" s="529" t="s">
        <v>244</v>
      </c>
      <c r="C9" s="507"/>
      <c r="D9" s="507"/>
      <c r="E9" s="507"/>
      <c r="F9" s="508"/>
      <c r="G9" s="507"/>
      <c r="H9" s="507"/>
      <c r="I9" s="507"/>
      <c r="J9" s="507"/>
      <c r="K9" s="507"/>
      <c r="L9" s="507"/>
      <c r="M9" s="507"/>
      <c r="N9" s="507"/>
      <c r="O9" s="509"/>
    </row>
    <row r="10" spans="1:177" ht="3.75" customHeight="1" x14ac:dyDescent="0.2"/>
    <row r="11" spans="1:177" ht="3.75" customHeight="1" x14ac:dyDescent="0.35">
      <c r="A11" s="35"/>
      <c r="B11" s="26"/>
      <c r="H11" s="254"/>
      <c r="O11" s="35"/>
      <c r="P11" s="36"/>
    </row>
    <row r="12" spans="1:177" s="173" customFormat="1" ht="3.75" customHeight="1" x14ac:dyDescent="0.3">
      <c r="B12" s="253"/>
      <c r="D12" s="174"/>
      <c r="F12" s="174"/>
      <c r="G12" s="246"/>
      <c r="I12" s="174"/>
      <c r="J12" s="174"/>
      <c r="Q12" s="259"/>
      <c r="R12" s="259"/>
      <c r="S12" s="259"/>
      <c r="T12" s="259"/>
      <c r="U12" s="259"/>
      <c r="V12" s="259"/>
      <c r="W12" s="260"/>
      <c r="X12" s="260"/>
      <c r="Y12" s="260"/>
      <c r="Z12" s="260"/>
      <c r="AA12" s="260"/>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59"/>
      <c r="CD12" s="259"/>
      <c r="CE12" s="259"/>
      <c r="CF12" s="259"/>
      <c r="CG12" s="259"/>
      <c r="CH12" s="259"/>
      <c r="CI12" s="259"/>
      <c r="CJ12" s="259"/>
      <c r="CK12" s="259"/>
      <c r="CL12" s="259"/>
      <c r="CM12" s="259"/>
      <c r="CN12" s="259"/>
      <c r="CO12" s="259"/>
      <c r="CP12" s="259"/>
      <c r="CQ12" s="259"/>
      <c r="CR12" s="259"/>
      <c r="CS12" s="259"/>
      <c r="CT12" s="259"/>
      <c r="CU12" s="259"/>
      <c r="CV12" s="259"/>
      <c r="CW12" s="259"/>
      <c r="CX12" s="259"/>
      <c r="CY12" s="259"/>
      <c r="CZ12" s="259"/>
      <c r="DA12" s="259"/>
      <c r="DB12" s="259"/>
      <c r="DC12" s="259"/>
      <c r="DD12" s="259"/>
      <c r="DE12" s="259"/>
      <c r="DF12" s="259"/>
      <c r="DG12" s="259"/>
      <c r="DH12" s="259"/>
      <c r="DI12" s="259"/>
      <c r="DJ12" s="259"/>
      <c r="DK12" s="259"/>
      <c r="DL12" s="259"/>
      <c r="DM12" s="259"/>
      <c r="DN12" s="259"/>
      <c r="DO12" s="259"/>
      <c r="DP12" s="259"/>
      <c r="DQ12" s="259"/>
      <c r="DR12" s="259"/>
      <c r="DS12" s="259"/>
      <c r="DT12" s="259"/>
      <c r="DU12" s="259"/>
      <c r="DV12" s="259"/>
      <c r="DW12" s="259"/>
      <c r="DX12" s="259"/>
      <c r="DY12" s="259"/>
      <c r="DZ12" s="259"/>
      <c r="EA12" s="259"/>
      <c r="EB12" s="259"/>
      <c r="EC12" s="259"/>
      <c r="ED12" s="259"/>
      <c r="EE12" s="259"/>
      <c r="EF12" s="259"/>
      <c r="EG12" s="259"/>
      <c r="EH12" s="259"/>
      <c r="EI12" s="259"/>
      <c r="EJ12" s="259"/>
      <c r="EK12" s="259"/>
      <c r="EL12" s="259"/>
      <c r="EM12" s="259"/>
      <c r="EN12" s="259"/>
      <c r="EO12" s="259"/>
      <c r="EP12" s="259"/>
      <c r="EQ12" s="259"/>
      <c r="ER12" s="259"/>
      <c r="ES12" s="259"/>
      <c r="ET12" s="259"/>
      <c r="EU12" s="259"/>
      <c r="EV12" s="259"/>
      <c r="EW12" s="259"/>
      <c r="EX12" s="259"/>
      <c r="EY12" s="259"/>
      <c r="EZ12" s="259"/>
      <c r="FA12" s="259"/>
      <c r="FB12" s="259"/>
      <c r="FC12" s="259"/>
      <c r="FD12" s="259"/>
      <c r="FE12" s="259"/>
      <c r="FF12" s="259"/>
      <c r="FG12" s="259"/>
      <c r="FH12" s="259"/>
      <c r="FI12" s="259"/>
      <c r="FJ12" s="259"/>
      <c r="FK12" s="259"/>
      <c r="FL12" s="259"/>
      <c r="FM12" s="259"/>
      <c r="FN12" s="259"/>
      <c r="FO12" s="259"/>
      <c r="FP12" s="259"/>
      <c r="FQ12" s="259"/>
      <c r="FR12" s="259"/>
      <c r="FS12" s="259"/>
      <c r="FT12" s="259"/>
      <c r="FU12" s="259"/>
    </row>
    <row r="13" spans="1:177" ht="3.75" customHeight="1" x14ac:dyDescent="0.25">
      <c r="A13" s="24"/>
      <c r="B13" s="29"/>
      <c r="D13" s="21"/>
      <c r="E13" s="1"/>
      <c r="F13" s="33"/>
      <c r="K13" s="3"/>
      <c r="L13" s="3"/>
      <c r="M13" s="38" t="s">
        <v>3</v>
      </c>
      <c r="N13" s="38"/>
      <c r="V13" s="261"/>
    </row>
    <row r="14" spans="1:177" ht="12.75" customHeight="1" x14ac:dyDescent="0.2">
      <c r="A14" s="24"/>
      <c r="B14" s="29"/>
      <c r="D14" s="33"/>
      <c r="E14" s="33"/>
      <c r="F14" s="33"/>
      <c r="J14" s="30"/>
      <c r="K14" s="3"/>
      <c r="L14" s="3"/>
      <c r="M14" s="38"/>
      <c r="N14" s="38"/>
      <c r="O14" s="4" t="s">
        <v>289</v>
      </c>
      <c r="V14" s="261"/>
    </row>
    <row r="15" spans="1:177" s="13" customFormat="1" ht="15" customHeight="1" x14ac:dyDescent="0.2">
      <c r="B15" s="865" t="s">
        <v>207</v>
      </c>
      <c r="C15" s="866" t="s">
        <v>288</v>
      </c>
      <c r="E15" s="20" t="s">
        <v>245</v>
      </c>
      <c r="F15" s="116">
        <f>'JSM Eingabe+TW'!S18</f>
        <v>0</v>
      </c>
      <c r="G15" s="6" t="s">
        <v>99</v>
      </c>
      <c r="I15" s="2"/>
      <c r="J15" s="2"/>
      <c r="K15"/>
      <c r="L15"/>
      <c r="N15" s="20" t="s">
        <v>285</v>
      </c>
      <c r="O15" s="5">
        <f>F15/365</f>
        <v>0</v>
      </c>
      <c r="Q15" s="262"/>
      <c r="R15" s="262"/>
      <c r="S15" s="262"/>
      <c r="T15" s="262"/>
      <c r="U15" s="262"/>
      <c r="V15" s="863"/>
      <c r="W15" s="261"/>
      <c r="X15" s="261"/>
      <c r="Y15" s="261"/>
      <c r="Z15" s="261"/>
      <c r="AA15" s="261"/>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2"/>
      <c r="DK15" s="262"/>
      <c r="DL15" s="262"/>
      <c r="DM15" s="262"/>
      <c r="DN15" s="262"/>
      <c r="DO15" s="262"/>
      <c r="DP15" s="262"/>
      <c r="DQ15" s="262"/>
      <c r="DR15" s="262"/>
      <c r="DS15" s="262"/>
      <c r="DT15" s="262"/>
      <c r="DU15" s="262"/>
      <c r="DV15" s="262"/>
      <c r="DW15" s="262"/>
      <c r="DX15" s="262"/>
      <c r="DY15" s="262"/>
      <c r="DZ15" s="262"/>
      <c r="EA15" s="262"/>
      <c r="EB15" s="262"/>
      <c r="EC15" s="262"/>
      <c r="ED15" s="262"/>
      <c r="EE15" s="262"/>
      <c r="EF15" s="262"/>
      <c r="EG15" s="262"/>
      <c r="EH15" s="262"/>
      <c r="EI15" s="262"/>
      <c r="EJ15" s="262"/>
      <c r="EK15" s="262"/>
      <c r="EL15" s="262"/>
      <c r="EM15" s="262"/>
      <c r="EN15" s="262"/>
      <c r="EO15" s="262"/>
      <c r="EP15" s="262"/>
      <c r="EQ15" s="262"/>
      <c r="ER15" s="262"/>
      <c r="ES15" s="262"/>
      <c r="ET15" s="262"/>
      <c r="EU15" s="262"/>
      <c r="EV15" s="262"/>
      <c r="EW15" s="262"/>
      <c r="EX15" s="262"/>
      <c r="EY15" s="262"/>
      <c r="EZ15" s="262"/>
      <c r="FA15" s="262"/>
      <c r="FB15" s="262"/>
      <c r="FC15" s="262"/>
      <c r="FD15" s="262"/>
      <c r="FE15" s="262"/>
      <c r="FF15" s="262"/>
      <c r="FG15" s="262"/>
      <c r="FH15" s="262"/>
      <c r="FI15" s="262"/>
      <c r="FJ15" s="262"/>
      <c r="FK15" s="262"/>
      <c r="FL15" s="262"/>
      <c r="FM15" s="262"/>
      <c r="FN15" s="262"/>
      <c r="FO15" s="262"/>
      <c r="FP15" s="262"/>
      <c r="FQ15" s="262"/>
      <c r="FR15" s="262"/>
      <c r="FS15" s="262"/>
      <c r="FT15" s="262"/>
      <c r="FU15" s="262"/>
    </row>
    <row r="16" spans="1:177" ht="15" customHeight="1" x14ac:dyDescent="0.2">
      <c r="B16" s="865"/>
      <c r="C16" s="866"/>
      <c r="F16" s="6"/>
      <c r="N16" s="4" t="s">
        <v>286</v>
      </c>
      <c r="O16" s="5" t="str">
        <f>'JSM Eingabe+TW'!AB85</f>
        <v/>
      </c>
      <c r="V16" s="863"/>
    </row>
    <row r="17" spans="2:31" ht="15" customHeight="1" x14ac:dyDescent="0.2">
      <c r="B17" s="865"/>
      <c r="C17" s="866"/>
      <c r="D17" s="92"/>
      <c r="E17" s="116"/>
      <c r="N17" s="4" t="s">
        <v>148</v>
      </c>
      <c r="O17" s="5" t="str">
        <f>'JSM Eingabe+TW'!BR95</f>
        <v/>
      </c>
      <c r="V17" s="263"/>
    </row>
    <row r="18" spans="2:31" ht="15" customHeight="1" x14ac:dyDescent="0.2">
      <c r="B18" s="667"/>
      <c r="D18" s="92"/>
      <c r="E18" s="116"/>
      <c r="N18" s="118" t="s">
        <v>146</v>
      </c>
      <c r="O18" s="121">
        <f>'JSM Eingabe+TW'!EV23</f>
        <v>9.9999999999999995E-7</v>
      </c>
      <c r="V18" s="263"/>
    </row>
    <row r="19" spans="2:31" ht="15" customHeight="1" x14ac:dyDescent="0.2">
      <c r="E19" s="116"/>
      <c r="K19" s="10"/>
      <c r="L19" s="10"/>
      <c r="N19" s="118" t="str">
        <f>IF('JSM Eingabe+TW'!DX18&gt;0,"Für fehlende Einträge und für Hochwassertage wurde jeweils folgender Ersatzwert eingesetzt :"," ")</f>
        <v>Für fehlende Einträge und für Hochwassertage wurde jeweils folgender Ersatzwert eingesetzt :</v>
      </c>
      <c r="O19" s="119">
        <f>IF('JSM Eingabe+TW'!DX18&gt;0,'JSM Jahresdauerlinie'!E26," ")</f>
        <v>9.9999999999999995E-7</v>
      </c>
      <c r="P19" s="112"/>
      <c r="V19" s="263"/>
    </row>
    <row r="20" spans="2:31" ht="3" customHeight="1" x14ac:dyDescent="0.2">
      <c r="E20" s="116"/>
      <c r="K20" s="10"/>
      <c r="L20" s="10"/>
      <c r="M20" s="118"/>
      <c r="N20" s="118"/>
      <c r="O20" s="119"/>
      <c r="P20" s="112"/>
      <c r="V20" s="263"/>
    </row>
    <row r="21" spans="2:31" x14ac:dyDescent="0.2">
      <c r="B21" t="s">
        <v>142</v>
      </c>
      <c r="V21" s="264"/>
    </row>
    <row r="22" spans="2:31" ht="11.25" customHeight="1" x14ac:dyDescent="0.2">
      <c r="V22" s="264"/>
    </row>
    <row r="23" spans="2:31" ht="11.25" customHeight="1" x14ac:dyDescent="0.2">
      <c r="V23" s="264"/>
    </row>
    <row r="24" spans="2:31" ht="11.25" customHeight="1" x14ac:dyDescent="0.2">
      <c r="V24" s="264"/>
    </row>
    <row r="25" spans="2:31" ht="11.25" customHeight="1" x14ac:dyDescent="0.2">
      <c r="V25" s="264"/>
      <c r="AD25" s="235">
        <v>2</v>
      </c>
      <c r="AE25" s="235">
        <f>AD25</f>
        <v>2</v>
      </c>
    </row>
    <row r="26" spans="2:31" ht="11.25" customHeight="1" x14ac:dyDescent="0.2">
      <c r="V26" s="264"/>
      <c r="AD26" s="235">
        <v>2</v>
      </c>
      <c r="AE26" s="235">
        <f>AD26</f>
        <v>2</v>
      </c>
    </row>
    <row r="27" spans="2:31" ht="11.25" customHeight="1" x14ac:dyDescent="0.2">
      <c r="V27" s="264"/>
      <c r="AD27" s="235">
        <v>1</v>
      </c>
      <c r="AE27" s="235">
        <f>AD27</f>
        <v>1</v>
      </c>
    </row>
    <row r="28" spans="2:31" ht="11.25" customHeight="1" x14ac:dyDescent="0.2">
      <c r="V28" s="264"/>
      <c r="AD28" s="235">
        <v>1</v>
      </c>
      <c r="AE28" s="235">
        <f>AD28</f>
        <v>1</v>
      </c>
    </row>
    <row r="29" spans="2:31" ht="11.25" customHeight="1" x14ac:dyDescent="0.2">
      <c r="V29" s="264"/>
      <c r="AD29" s="235">
        <v>1</v>
      </c>
      <c r="AE29" s="235">
        <f>AD29</f>
        <v>1</v>
      </c>
    </row>
    <row r="30" spans="2:31" ht="11.25" customHeight="1" x14ac:dyDescent="0.2">
      <c r="V30" s="264"/>
    </row>
    <row r="31" spans="2:31" ht="11.25" customHeight="1" x14ac:dyDescent="0.2">
      <c r="V31" s="264"/>
    </row>
    <row r="32" spans="2:31" ht="11.25" customHeight="1" x14ac:dyDescent="0.2">
      <c r="V32" s="264"/>
    </row>
    <row r="33" spans="2:177" ht="11.25" customHeight="1" x14ac:dyDescent="0.2">
      <c r="V33" s="264"/>
    </row>
    <row r="34" spans="2:177" ht="11.25" customHeight="1" x14ac:dyDescent="0.2">
      <c r="V34" s="264"/>
    </row>
    <row r="35" spans="2:177" ht="11.25" customHeight="1" x14ac:dyDescent="0.2">
      <c r="V35" s="264"/>
    </row>
    <row r="36" spans="2:177" ht="11.25" customHeight="1" x14ac:dyDescent="0.2">
      <c r="V36" s="264"/>
    </row>
    <row r="37" spans="2:177" ht="11.25" customHeight="1" x14ac:dyDescent="0.2">
      <c r="V37" s="264"/>
    </row>
    <row r="38" spans="2:177" ht="11.25" customHeight="1" x14ac:dyDescent="0.2">
      <c r="V38" s="264"/>
    </row>
    <row r="39" spans="2:177" ht="24.75" customHeight="1" x14ac:dyDescent="0.2">
      <c r="V39" s="264"/>
    </row>
    <row r="40" spans="2:177" ht="11.25" customHeight="1" x14ac:dyDescent="0.2">
      <c r="V40" s="264"/>
    </row>
    <row r="41" spans="2:177" ht="11.25" customHeight="1" x14ac:dyDescent="0.2">
      <c r="V41" s="264"/>
    </row>
    <row r="42" spans="2:177" ht="11.25" customHeight="1" x14ac:dyDescent="0.2">
      <c r="V42" s="264"/>
    </row>
    <row r="43" spans="2:177" ht="11.25" customHeight="1" x14ac:dyDescent="0.2"/>
    <row r="44" spans="2:177" ht="11.25" customHeight="1" x14ac:dyDescent="0.2">
      <c r="V44" s="264"/>
    </row>
    <row r="45" spans="2:177" s="27" customFormat="1" ht="11.25" x14ac:dyDescent="0.2">
      <c r="C45" s="864" t="s">
        <v>143</v>
      </c>
      <c r="D45" s="864"/>
      <c r="E45" s="864"/>
      <c r="F45" s="864"/>
      <c r="G45" s="864"/>
      <c r="H45" s="864"/>
      <c r="I45" s="864"/>
      <c r="J45" s="864"/>
      <c r="K45" s="864"/>
      <c r="L45" s="864"/>
      <c r="M45" s="864"/>
      <c r="N45" s="864"/>
      <c r="O45" s="864"/>
      <c r="P45" s="91"/>
      <c r="Q45" s="265"/>
      <c r="R45" s="265"/>
      <c r="S45" s="265"/>
      <c r="T45" s="265"/>
      <c r="U45" s="265"/>
      <c r="V45" s="266"/>
      <c r="W45" s="267"/>
      <c r="X45" s="267"/>
      <c r="Y45" s="267"/>
      <c r="Z45" s="267"/>
      <c r="AA45" s="267"/>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65"/>
      <c r="BY45" s="265"/>
      <c r="BZ45" s="265"/>
      <c r="CA45" s="265"/>
      <c r="CB45" s="265"/>
      <c r="CC45" s="265"/>
      <c r="CD45" s="265"/>
      <c r="CE45" s="265"/>
      <c r="CF45" s="265"/>
      <c r="CG45" s="265"/>
      <c r="CH45" s="265"/>
      <c r="CI45" s="265"/>
      <c r="CJ45" s="265"/>
      <c r="CK45" s="265"/>
      <c r="CL45" s="265"/>
      <c r="CM45" s="265"/>
      <c r="CN45" s="265"/>
      <c r="CO45" s="265"/>
      <c r="CP45" s="265"/>
      <c r="CQ45" s="265"/>
      <c r="CR45" s="265"/>
      <c r="CS45" s="265"/>
      <c r="CT45" s="265"/>
      <c r="CU45" s="265"/>
      <c r="CV45" s="265"/>
      <c r="CW45" s="265"/>
      <c r="CX45" s="265"/>
      <c r="CY45" s="265"/>
      <c r="CZ45" s="265"/>
      <c r="DA45" s="265"/>
      <c r="DB45" s="265"/>
      <c r="DC45" s="265"/>
      <c r="DD45" s="265"/>
      <c r="DE45" s="265"/>
      <c r="DF45" s="265"/>
      <c r="DG45" s="265"/>
      <c r="DH45" s="265"/>
      <c r="DI45" s="265"/>
      <c r="DJ45" s="265"/>
      <c r="DK45" s="265"/>
      <c r="DL45" s="265"/>
      <c r="DM45" s="265"/>
      <c r="DN45" s="265"/>
      <c r="DO45" s="265"/>
      <c r="DP45" s="265"/>
      <c r="DQ45" s="265"/>
      <c r="DR45" s="265"/>
      <c r="DS45" s="265"/>
      <c r="DT45" s="265"/>
      <c r="DU45" s="265"/>
      <c r="DV45" s="265"/>
      <c r="DW45" s="265"/>
      <c r="DX45" s="265"/>
      <c r="DY45" s="265"/>
      <c r="DZ45" s="265"/>
      <c r="EA45" s="265"/>
      <c r="EB45" s="265"/>
      <c r="EC45" s="265"/>
      <c r="ED45" s="265"/>
      <c r="EE45" s="265"/>
      <c r="EF45" s="265"/>
      <c r="EG45" s="265"/>
      <c r="EH45" s="265"/>
      <c r="EI45" s="265"/>
      <c r="EJ45" s="265"/>
      <c r="EK45" s="265"/>
      <c r="EL45" s="265"/>
      <c r="EM45" s="265"/>
      <c r="EN45" s="265"/>
      <c r="EO45" s="265"/>
      <c r="EP45" s="265"/>
      <c r="EQ45" s="265"/>
      <c r="ER45" s="265"/>
      <c r="ES45" s="265"/>
      <c r="ET45" s="265"/>
      <c r="EU45" s="265"/>
      <c r="EV45" s="265"/>
      <c r="EW45" s="265"/>
      <c r="EX45" s="265"/>
      <c r="EY45" s="265"/>
      <c r="EZ45" s="265"/>
      <c r="FA45" s="265"/>
      <c r="FB45" s="265"/>
      <c r="FC45" s="265"/>
      <c r="FD45" s="265"/>
      <c r="FE45" s="265"/>
      <c r="FF45" s="265"/>
      <c r="FG45" s="265"/>
      <c r="FH45" s="265"/>
      <c r="FI45" s="265"/>
      <c r="FJ45" s="265"/>
      <c r="FK45" s="265"/>
      <c r="FL45" s="265"/>
      <c r="FM45" s="265"/>
      <c r="FN45" s="265"/>
      <c r="FO45" s="265"/>
      <c r="FP45" s="265"/>
      <c r="FQ45" s="265"/>
      <c r="FR45" s="265"/>
      <c r="FS45" s="265"/>
      <c r="FT45" s="265"/>
      <c r="FU45" s="265"/>
    </row>
    <row r="46" spans="2:177" s="27" customFormat="1" ht="11.25" x14ac:dyDescent="0.2">
      <c r="C46" s="864" t="s">
        <v>144</v>
      </c>
      <c r="D46" s="864"/>
      <c r="E46" s="864"/>
      <c r="F46" s="864"/>
      <c r="G46" s="864"/>
      <c r="H46" s="864"/>
      <c r="I46" s="864"/>
      <c r="J46" s="864"/>
      <c r="K46" s="864"/>
      <c r="L46" s="864"/>
      <c r="M46" s="864"/>
      <c r="N46" s="864"/>
      <c r="O46" s="864"/>
      <c r="Q46" s="265"/>
      <c r="R46" s="265"/>
      <c r="S46" s="265"/>
      <c r="T46" s="265"/>
      <c r="U46" s="265"/>
      <c r="V46" s="266"/>
      <c r="W46" s="267"/>
      <c r="X46" s="267"/>
      <c r="Y46" s="267"/>
      <c r="Z46" s="267"/>
      <c r="AA46" s="267"/>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5"/>
      <c r="CB46" s="265"/>
      <c r="CC46" s="265"/>
      <c r="CD46" s="265"/>
      <c r="CE46" s="265"/>
      <c r="CF46" s="265"/>
      <c r="CG46" s="265"/>
      <c r="CH46" s="265"/>
      <c r="CI46" s="265"/>
      <c r="CJ46" s="265"/>
      <c r="CK46" s="265"/>
      <c r="CL46" s="265"/>
      <c r="CM46" s="265"/>
      <c r="CN46" s="265"/>
      <c r="CO46" s="265"/>
      <c r="CP46" s="265"/>
      <c r="CQ46" s="265"/>
      <c r="CR46" s="265"/>
      <c r="CS46" s="265"/>
      <c r="CT46" s="265"/>
      <c r="CU46" s="265"/>
      <c r="CV46" s="265"/>
      <c r="CW46" s="265"/>
      <c r="CX46" s="265"/>
      <c r="CY46" s="265"/>
      <c r="CZ46" s="265"/>
      <c r="DA46" s="265"/>
      <c r="DB46" s="265"/>
      <c r="DC46" s="265"/>
      <c r="DD46" s="265"/>
      <c r="DE46" s="265"/>
      <c r="DF46" s="265"/>
      <c r="DG46" s="265"/>
      <c r="DH46" s="265"/>
      <c r="DI46" s="265"/>
      <c r="DJ46" s="265"/>
      <c r="DK46" s="265"/>
      <c r="DL46" s="265"/>
      <c r="DM46" s="265"/>
      <c r="DN46" s="265"/>
      <c r="DO46" s="265"/>
      <c r="DP46" s="265"/>
      <c r="DQ46" s="265"/>
      <c r="DR46" s="265"/>
      <c r="DS46" s="265"/>
      <c r="DT46" s="265"/>
      <c r="DU46" s="265"/>
      <c r="DV46" s="265"/>
      <c r="DW46" s="265"/>
      <c r="DX46" s="265"/>
      <c r="DY46" s="265"/>
      <c r="DZ46" s="265"/>
      <c r="EA46" s="265"/>
      <c r="EB46" s="265"/>
      <c r="EC46" s="265"/>
      <c r="ED46" s="265"/>
      <c r="EE46" s="265"/>
      <c r="EF46" s="265"/>
      <c r="EG46" s="265"/>
      <c r="EH46" s="265"/>
      <c r="EI46" s="265"/>
      <c r="EJ46" s="265"/>
      <c r="EK46" s="265"/>
      <c r="EL46" s="265"/>
      <c r="EM46" s="265"/>
      <c r="EN46" s="265"/>
      <c r="EO46" s="265"/>
      <c r="EP46" s="265"/>
      <c r="EQ46" s="265"/>
      <c r="ER46" s="265"/>
      <c r="ES46" s="265"/>
      <c r="ET46" s="265"/>
      <c r="EU46" s="265"/>
      <c r="EV46" s="265"/>
      <c r="EW46" s="265"/>
      <c r="EX46" s="265"/>
      <c r="EY46" s="265"/>
      <c r="EZ46" s="265"/>
      <c r="FA46" s="265"/>
      <c r="FB46" s="265"/>
      <c r="FC46" s="265"/>
      <c r="FD46" s="265"/>
      <c r="FE46" s="265"/>
      <c r="FF46" s="265"/>
      <c r="FG46" s="265"/>
      <c r="FH46" s="265"/>
      <c r="FI46" s="265"/>
      <c r="FJ46" s="265"/>
      <c r="FK46" s="265"/>
      <c r="FL46" s="265"/>
      <c r="FM46" s="265"/>
      <c r="FN46" s="265"/>
      <c r="FO46" s="265"/>
      <c r="FP46" s="265"/>
      <c r="FQ46" s="265"/>
      <c r="FR46" s="265"/>
      <c r="FS46" s="265"/>
      <c r="FT46" s="265"/>
      <c r="FU46" s="265"/>
    </row>
    <row r="47" spans="2:177" s="27" customFormat="1" ht="12" thickBot="1" x14ac:dyDescent="0.25">
      <c r="B47" s="27" t="s">
        <v>221</v>
      </c>
      <c r="C47" s="241"/>
      <c r="D47" s="241"/>
      <c r="E47" s="241"/>
      <c r="F47" s="241"/>
      <c r="G47" s="241"/>
      <c r="H47" s="241"/>
      <c r="I47" s="241"/>
      <c r="J47" s="241"/>
      <c r="K47" s="241"/>
      <c r="L47" s="241"/>
      <c r="M47" s="241"/>
      <c r="N47" s="241"/>
      <c r="O47" s="241"/>
      <c r="Q47" s="265"/>
      <c r="R47" s="265"/>
      <c r="S47" s="265"/>
      <c r="T47" s="265"/>
      <c r="U47" s="265"/>
      <c r="V47" s="266"/>
      <c r="W47" s="267"/>
      <c r="X47" s="267"/>
      <c r="Y47" s="267"/>
      <c r="Z47" s="267"/>
      <c r="AA47" s="267"/>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5"/>
      <c r="CO47" s="265"/>
      <c r="CP47" s="265"/>
      <c r="CQ47" s="265"/>
      <c r="CR47" s="265"/>
      <c r="CS47" s="265"/>
      <c r="CT47" s="265"/>
      <c r="CU47" s="265"/>
      <c r="CV47" s="265"/>
      <c r="CW47" s="265"/>
      <c r="CX47" s="265"/>
      <c r="CY47" s="265"/>
      <c r="CZ47" s="265"/>
      <c r="DA47" s="265"/>
      <c r="DB47" s="265"/>
      <c r="DC47" s="265"/>
      <c r="DD47" s="265"/>
      <c r="DE47" s="265"/>
      <c r="DF47" s="265"/>
      <c r="DG47" s="265"/>
      <c r="DH47" s="265"/>
      <c r="DI47" s="265"/>
      <c r="DJ47" s="265"/>
      <c r="DK47" s="265"/>
      <c r="DL47" s="265"/>
      <c r="DM47" s="265"/>
      <c r="DN47" s="265"/>
      <c r="DO47" s="265"/>
      <c r="DP47" s="265"/>
      <c r="DQ47" s="265"/>
      <c r="DR47" s="265"/>
      <c r="DS47" s="265"/>
      <c r="DT47" s="265"/>
      <c r="DU47" s="265"/>
      <c r="DV47" s="265"/>
      <c r="DW47" s="265"/>
      <c r="DX47" s="265"/>
      <c r="DY47" s="265"/>
      <c r="DZ47" s="265"/>
      <c r="EA47" s="265"/>
      <c r="EB47" s="265"/>
      <c r="EC47" s="265"/>
      <c r="ED47" s="265"/>
      <c r="EE47" s="265"/>
      <c r="EF47" s="265"/>
      <c r="EG47" s="265"/>
      <c r="EH47" s="265"/>
      <c r="EI47" s="265"/>
      <c r="EJ47" s="265"/>
      <c r="EK47" s="265"/>
      <c r="EL47" s="265"/>
      <c r="EM47" s="265"/>
      <c r="EN47" s="265"/>
      <c r="EO47" s="265"/>
      <c r="EP47" s="265"/>
      <c r="EQ47" s="265"/>
      <c r="ER47" s="265"/>
      <c r="ES47" s="265"/>
      <c r="ET47" s="265"/>
      <c r="EU47" s="265"/>
      <c r="EV47" s="265"/>
      <c r="EW47" s="265"/>
      <c r="EX47" s="265"/>
      <c r="EY47" s="265"/>
      <c r="EZ47" s="265"/>
      <c r="FA47" s="265"/>
      <c r="FB47" s="265"/>
      <c r="FC47" s="265"/>
      <c r="FD47" s="265"/>
      <c r="FE47" s="265"/>
      <c r="FF47" s="265"/>
      <c r="FG47" s="265"/>
      <c r="FH47" s="265"/>
      <c r="FI47" s="265"/>
      <c r="FJ47" s="265"/>
      <c r="FK47" s="265"/>
      <c r="FL47" s="265"/>
      <c r="FM47" s="265"/>
      <c r="FN47" s="265"/>
      <c r="FO47" s="265"/>
      <c r="FP47" s="265"/>
      <c r="FQ47" s="265"/>
      <c r="FR47" s="265"/>
      <c r="FS47" s="265"/>
      <c r="FT47" s="265"/>
      <c r="FU47" s="265"/>
    </row>
    <row r="48" spans="2:177" s="269" customFormat="1" ht="18" customHeight="1" thickBot="1" x14ac:dyDescent="0.25">
      <c r="B48" s="530" t="s">
        <v>217</v>
      </c>
      <c r="C48" s="531">
        <f>M53</f>
        <v>3.6500000000000237E-4</v>
      </c>
      <c r="D48" s="532" t="s">
        <v>83</v>
      </c>
      <c r="E48" s="532" t="s">
        <v>218</v>
      </c>
      <c r="F48" s="531">
        <f>F53</f>
        <v>3.6500000000000237E-4</v>
      </c>
      <c r="G48" s="532" t="s">
        <v>83</v>
      </c>
      <c r="H48" s="525"/>
      <c r="I48" s="525"/>
      <c r="J48" s="525"/>
      <c r="K48" s="525"/>
      <c r="L48" s="525"/>
      <c r="M48" s="526" t="s">
        <v>219</v>
      </c>
      <c r="N48" s="527">
        <f>'JSM Ergebnis'!H18</f>
        <v>0</v>
      </c>
      <c r="O48" s="528" t="s">
        <v>323</v>
      </c>
      <c r="Q48" s="270"/>
      <c r="R48" s="270"/>
      <c r="S48" s="270"/>
      <c r="T48" s="270"/>
      <c r="U48" s="270"/>
      <c r="V48" s="271"/>
      <c r="W48" s="272"/>
      <c r="X48" s="272"/>
      <c r="Y48" s="272"/>
      <c r="Z48" s="272"/>
      <c r="AA48" s="272"/>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0"/>
      <c r="BR48" s="270"/>
      <c r="BS48" s="270"/>
      <c r="BT48" s="270"/>
      <c r="BU48" s="270"/>
      <c r="BV48" s="270"/>
      <c r="BW48" s="270"/>
      <c r="BX48" s="270"/>
      <c r="BY48" s="270"/>
      <c r="BZ48" s="270"/>
      <c r="CA48" s="270"/>
      <c r="CB48" s="270"/>
      <c r="CC48" s="270"/>
      <c r="CD48" s="270"/>
      <c r="CE48" s="270"/>
      <c r="CF48" s="270"/>
      <c r="CG48" s="270"/>
      <c r="CH48" s="270"/>
      <c r="CI48" s="270"/>
      <c r="CJ48" s="270"/>
      <c r="CK48" s="270"/>
      <c r="CL48" s="270"/>
      <c r="CM48" s="270"/>
      <c r="CN48" s="270"/>
      <c r="CO48" s="270"/>
      <c r="CP48" s="270"/>
      <c r="CQ48" s="270"/>
      <c r="CR48" s="270"/>
      <c r="CS48" s="270"/>
      <c r="CT48" s="270"/>
      <c r="CU48" s="270"/>
      <c r="CV48" s="270"/>
      <c r="CW48" s="270"/>
      <c r="CX48" s="270"/>
      <c r="CY48" s="270"/>
      <c r="CZ48" s="270"/>
      <c r="DA48" s="270"/>
      <c r="DB48" s="270"/>
      <c r="DC48" s="270"/>
      <c r="DD48" s="270"/>
      <c r="DE48" s="270"/>
      <c r="DF48" s="270"/>
      <c r="DG48" s="270"/>
      <c r="DH48" s="270"/>
      <c r="DI48" s="270"/>
      <c r="DJ48" s="270"/>
      <c r="DK48" s="270"/>
      <c r="DL48" s="270"/>
      <c r="DM48" s="270"/>
      <c r="DN48" s="270"/>
      <c r="DO48" s="270"/>
      <c r="DP48" s="270"/>
      <c r="DQ48" s="270"/>
      <c r="DR48" s="270"/>
      <c r="DS48" s="270"/>
      <c r="DT48" s="270"/>
      <c r="DU48" s="270"/>
      <c r="DV48" s="270"/>
      <c r="DW48" s="270"/>
      <c r="DX48" s="270"/>
      <c r="DY48" s="270"/>
      <c r="DZ48" s="270"/>
      <c r="EA48" s="270"/>
      <c r="EB48" s="270"/>
      <c r="EC48" s="270"/>
      <c r="ED48" s="270"/>
      <c r="EE48" s="270"/>
      <c r="EF48" s="270"/>
      <c r="EG48" s="270"/>
      <c r="EH48" s="270"/>
      <c r="EI48" s="270"/>
      <c r="EJ48" s="270"/>
      <c r="EK48" s="270"/>
      <c r="EL48" s="270"/>
      <c r="EM48" s="270"/>
      <c r="EN48" s="270"/>
      <c r="EO48" s="270"/>
      <c r="EP48" s="270"/>
      <c r="EQ48" s="270"/>
      <c r="ER48" s="270"/>
      <c r="ES48" s="270"/>
      <c r="ET48" s="270"/>
      <c r="EU48" s="270"/>
      <c r="EV48" s="270"/>
      <c r="EW48" s="270"/>
      <c r="EX48" s="270"/>
      <c r="EY48" s="270"/>
      <c r="EZ48" s="270"/>
      <c r="FA48" s="270"/>
      <c r="FB48" s="270"/>
      <c r="FC48" s="270"/>
      <c r="FD48" s="270"/>
      <c r="FE48" s="270"/>
      <c r="FF48" s="270"/>
      <c r="FG48" s="270"/>
      <c r="FH48" s="270"/>
      <c r="FI48" s="270"/>
      <c r="FJ48" s="270"/>
      <c r="FK48" s="270"/>
      <c r="FL48" s="270"/>
      <c r="FM48" s="270"/>
      <c r="FN48" s="270"/>
      <c r="FO48" s="270"/>
      <c r="FP48" s="270"/>
      <c r="FQ48" s="270"/>
      <c r="FR48" s="270"/>
      <c r="FS48" s="270"/>
      <c r="FT48" s="270"/>
      <c r="FU48" s="270"/>
    </row>
    <row r="49" spans="2:27" s="141" customFormat="1" x14ac:dyDescent="0.2">
      <c r="D49" s="142"/>
      <c r="F49" s="352"/>
      <c r="G49" s="142"/>
      <c r="H49" s="142"/>
      <c r="I49" s="142"/>
      <c r="J49" s="390"/>
      <c r="V49" s="143"/>
      <c r="W49" s="142"/>
      <c r="X49" s="142"/>
      <c r="Y49" s="142"/>
      <c r="Z49" s="142"/>
      <c r="AA49" s="142"/>
    </row>
    <row r="50" spans="2:27" s="141" customFormat="1" ht="18.75" customHeight="1" x14ac:dyDescent="0.2">
      <c r="B50" s="144" t="s">
        <v>41</v>
      </c>
      <c r="C50" s="145"/>
      <c r="D50" s="862" t="s">
        <v>35</v>
      </c>
      <c r="E50" s="862" t="s">
        <v>32</v>
      </c>
      <c r="F50" s="862" t="s">
        <v>166</v>
      </c>
      <c r="G50" s="137" t="s">
        <v>137</v>
      </c>
      <c r="H50" s="146"/>
      <c r="I50" s="142"/>
      <c r="J50" s="862" t="s">
        <v>153</v>
      </c>
      <c r="K50" s="862" t="s">
        <v>80</v>
      </c>
      <c r="L50" s="862"/>
      <c r="M50" s="862"/>
      <c r="N50" s="862"/>
      <c r="O50" s="862"/>
      <c r="Q50" s="147" t="str">
        <f>IF(H52="X",IF(SUMIF(M55:M419,"&lt;0",M55:M419)&lt;0,"das bereichsweise Unterschneiden des gleitenden Minimums unter das Frischwasser-mittel wurde für die Fremdwasserermittlung unterdrückt"," ")," ")</f>
        <v xml:space="preserve"> </v>
      </c>
      <c r="R50" s="147"/>
      <c r="S50" s="147"/>
      <c r="V50" s="143"/>
      <c r="W50" s="142"/>
      <c r="X50" s="142"/>
      <c r="Y50" s="142"/>
      <c r="Z50" s="142"/>
      <c r="AA50" s="142"/>
    </row>
    <row r="51" spans="2:27" s="141" customFormat="1" ht="12.75" customHeight="1" x14ac:dyDescent="0.2">
      <c r="B51" s="148">
        <f>'JSM Eingabe+TW'!AB7</f>
        <v>0</v>
      </c>
      <c r="C51" s="149"/>
      <c r="D51" s="862"/>
      <c r="E51" s="862"/>
      <c r="F51" s="862"/>
      <c r="G51" s="150" t="s">
        <v>141</v>
      </c>
      <c r="H51" s="146"/>
      <c r="I51" s="151"/>
      <c r="J51" s="862"/>
      <c r="K51" s="862"/>
      <c r="L51" s="862"/>
      <c r="M51" s="862"/>
      <c r="N51" s="862"/>
      <c r="O51" s="862"/>
      <c r="Q51" s="147"/>
      <c r="R51" s="147"/>
      <c r="S51" s="147"/>
      <c r="V51" s="143"/>
      <c r="W51" s="142"/>
      <c r="X51" s="142"/>
      <c r="Y51" s="142"/>
      <c r="Z51" s="142"/>
      <c r="AA51" s="142"/>
    </row>
    <row r="52" spans="2:27" s="141" customFormat="1" ht="13.5" customHeight="1" x14ac:dyDescent="0.2">
      <c r="B52" s="152"/>
      <c r="C52" s="149"/>
      <c r="D52" s="146" t="s">
        <v>97</v>
      </c>
      <c r="E52" s="146"/>
      <c r="F52" s="146"/>
      <c r="G52" s="146"/>
      <c r="H52" s="138" t="s">
        <v>3</v>
      </c>
      <c r="I52" s="151"/>
      <c r="J52" s="142"/>
      <c r="K52" s="861" t="s">
        <v>81</v>
      </c>
      <c r="L52" s="861"/>
      <c r="M52" s="861" t="s">
        <v>82</v>
      </c>
      <c r="N52" s="861"/>
      <c r="O52" s="861"/>
      <c r="P52" s="138" t="s">
        <v>93</v>
      </c>
      <c r="Q52" s="147"/>
      <c r="R52" s="147"/>
      <c r="S52" s="147"/>
      <c r="V52" s="143"/>
      <c r="W52" s="142"/>
      <c r="X52" s="142"/>
      <c r="Y52" s="142"/>
      <c r="Z52" s="142"/>
      <c r="AA52" s="142"/>
    </row>
    <row r="53" spans="2:27" s="141" customFormat="1" ht="12.75" customHeight="1" x14ac:dyDescent="0.2">
      <c r="B53" s="152" t="s">
        <v>40</v>
      </c>
      <c r="C53" s="149"/>
      <c r="D53" s="153">
        <f>SUM(D55:D419)</f>
        <v>3.6500000000000237E-4</v>
      </c>
      <c r="E53" s="153">
        <f>SUM(E55:E419)</f>
        <v>0</v>
      </c>
      <c r="F53" s="153">
        <f>SUM(F55:F419)</f>
        <v>3.6500000000000237E-4</v>
      </c>
      <c r="G53" s="154">
        <f>G420</f>
        <v>4.3799999999999628E-4</v>
      </c>
      <c r="H53" s="153"/>
      <c r="I53" s="142"/>
      <c r="J53" s="139">
        <f>J424</f>
        <v>3.6500000000000237E-4</v>
      </c>
      <c r="K53" s="139">
        <f>SUM(K55:K419)</f>
        <v>3.6500000000000237E-4</v>
      </c>
      <c r="L53" s="140">
        <f>K53/F53</f>
        <v>1</v>
      </c>
      <c r="M53" s="139">
        <f>M420</f>
        <v>3.6500000000000237E-4</v>
      </c>
      <c r="N53" s="139"/>
      <c r="O53" s="155">
        <f>M53/F53</f>
        <v>1</v>
      </c>
      <c r="Q53" s="147"/>
      <c r="R53" s="147"/>
      <c r="S53" s="147"/>
      <c r="V53" s="143"/>
      <c r="W53" s="142"/>
      <c r="X53" s="142"/>
      <c r="Y53" s="142"/>
      <c r="Z53" s="142"/>
      <c r="AA53" s="142"/>
    </row>
    <row r="54" spans="2:27" s="141" customFormat="1" ht="34.5" customHeight="1" x14ac:dyDescent="0.2">
      <c r="B54" s="152"/>
      <c r="C54" s="149"/>
      <c r="D54" s="151" t="s">
        <v>140</v>
      </c>
      <c r="E54" s="154" t="s">
        <v>32</v>
      </c>
      <c r="F54" s="154" t="s">
        <v>138</v>
      </c>
      <c r="G54" s="156" t="s">
        <v>139</v>
      </c>
      <c r="H54" s="154" t="s">
        <v>145</v>
      </c>
      <c r="I54" s="151" t="s">
        <v>158</v>
      </c>
      <c r="J54" s="154"/>
      <c r="K54" s="139"/>
      <c r="L54" s="139"/>
      <c r="Q54" s="147"/>
      <c r="R54" s="147"/>
      <c r="S54" s="147"/>
      <c r="V54" s="143"/>
      <c r="W54" s="142"/>
      <c r="X54" s="142"/>
      <c r="Y54" s="142"/>
      <c r="Z54" s="142"/>
      <c r="AA54" s="142"/>
    </row>
    <row r="55" spans="2:27" s="141" customFormat="1" x14ac:dyDescent="0.2">
      <c r="B55" s="157">
        <v>37257</v>
      </c>
      <c r="C55" s="158">
        <v>1</v>
      </c>
      <c r="D55" s="159">
        <f>'JSM Eingabe+TW'!CW32</f>
        <v>9.9999999999999995E-7</v>
      </c>
      <c r="E55" s="159">
        <f>O15</f>
        <v>0</v>
      </c>
      <c r="F55" s="160">
        <f t="shared" ref="F55:F64" si="0">F56</f>
        <v>9.9999999999999995E-7</v>
      </c>
      <c r="G55" s="160">
        <f>F55*1.2</f>
        <v>1.1999999999999999E-6</v>
      </c>
      <c r="H55" s="160">
        <f>'JSM Eingabe+TW'!K17</f>
        <v>0</v>
      </c>
      <c r="I55" s="160">
        <f>'JSM Eingabe+TW'!$K$18*3.6*24</f>
        <v>0</v>
      </c>
      <c r="J55" s="159">
        <f t="shared" ref="J55:J118" si="1">IF(D55&lt;=G55,D55,0)</f>
        <v>9.9999999999999995E-7</v>
      </c>
      <c r="K55" s="143">
        <f t="shared" ref="K55:K118" si="2">IF(F55&lt;E55,0,F55-E55)</f>
        <v>9.9999999999999995E-7</v>
      </c>
      <c r="L55" s="161" t="str">
        <f t="shared" ref="L55:L118" si="3">IF(M55&lt;0,1, " ")</f>
        <v xml:space="preserve"> </v>
      </c>
      <c r="M55" s="162">
        <f t="shared" ref="M55:M118" si="4">F55-E55</f>
        <v>9.9999999999999995E-7</v>
      </c>
      <c r="N55" s="162"/>
      <c r="Q55" s="147"/>
      <c r="R55" s="147"/>
      <c r="S55" s="147"/>
      <c r="V55" s="143"/>
      <c r="W55" s="142"/>
      <c r="X55" s="142"/>
      <c r="Y55" s="142"/>
      <c r="Z55" s="142"/>
      <c r="AA55" s="142"/>
    </row>
    <row r="56" spans="2:27" s="141" customFormat="1" x14ac:dyDescent="0.2">
      <c r="B56" s="157">
        <v>37258</v>
      </c>
      <c r="C56" s="158">
        <v>2</v>
      </c>
      <c r="D56" s="159">
        <f>'JSM Eingabe+TW'!CW33</f>
        <v>9.9999999999999995E-7</v>
      </c>
      <c r="E56" s="159">
        <f t="shared" ref="E56:E119" si="5">$E$55</f>
        <v>0</v>
      </c>
      <c r="F56" s="160">
        <f t="shared" si="0"/>
        <v>9.9999999999999995E-7</v>
      </c>
      <c r="G56" s="160">
        <f t="shared" ref="G56:G119" si="6">F56*1.2</f>
        <v>1.1999999999999999E-6</v>
      </c>
      <c r="H56" s="160">
        <f>H55</f>
        <v>0</v>
      </c>
      <c r="I56" s="160">
        <f>'JSM Eingabe+TW'!$K$18*3.6*24</f>
        <v>0</v>
      </c>
      <c r="J56" s="159">
        <f t="shared" si="1"/>
        <v>9.9999999999999995E-7</v>
      </c>
      <c r="K56" s="143">
        <f t="shared" si="2"/>
        <v>9.9999999999999995E-7</v>
      </c>
      <c r="L56" s="161" t="str">
        <f t="shared" si="3"/>
        <v xml:space="preserve"> </v>
      </c>
      <c r="M56" s="162">
        <f t="shared" si="4"/>
        <v>9.9999999999999995E-7</v>
      </c>
      <c r="N56" s="162"/>
      <c r="Q56" s="147"/>
      <c r="R56" s="147"/>
      <c r="S56" s="147"/>
      <c r="V56" s="143"/>
      <c r="W56" s="142"/>
      <c r="X56" s="142"/>
      <c r="Y56" s="142"/>
      <c r="Z56" s="142"/>
      <c r="AA56" s="142"/>
    </row>
    <row r="57" spans="2:27" s="141" customFormat="1" x14ac:dyDescent="0.2">
      <c r="B57" s="157">
        <v>37259</v>
      </c>
      <c r="C57" s="158">
        <v>3</v>
      </c>
      <c r="D57" s="159">
        <f>'JSM Eingabe+TW'!CW34</f>
        <v>9.9999999999999995E-7</v>
      </c>
      <c r="E57" s="159">
        <f t="shared" si="5"/>
        <v>0</v>
      </c>
      <c r="F57" s="160">
        <f>F58</f>
        <v>9.9999999999999995E-7</v>
      </c>
      <c r="G57" s="160">
        <f t="shared" si="6"/>
        <v>1.1999999999999999E-6</v>
      </c>
      <c r="H57" s="160">
        <f t="shared" ref="H57:H120" si="7">H56</f>
        <v>0</v>
      </c>
      <c r="I57" s="160">
        <f>'JSM Eingabe+TW'!$K$18*3.6*24</f>
        <v>0</v>
      </c>
      <c r="J57" s="159">
        <f t="shared" si="1"/>
        <v>9.9999999999999995E-7</v>
      </c>
      <c r="K57" s="143">
        <f t="shared" si="2"/>
        <v>9.9999999999999995E-7</v>
      </c>
      <c r="L57" s="161" t="str">
        <f t="shared" si="3"/>
        <v xml:space="preserve"> </v>
      </c>
      <c r="M57" s="162">
        <f t="shared" si="4"/>
        <v>9.9999999999999995E-7</v>
      </c>
      <c r="N57" s="162"/>
      <c r="V57" s="143"/>
      <c r="W57" s="142"/>
      <c r="X57" s="142"/>
      <c r="Y57" s="142"/>
      <c r="Z57" s="142"/>
      <c r="AA57" s="142"/>
    </row>
    <row r="58" spans="2:27" s="141" customFormat="1" x14ac:dyDescent="0.2">
      <c r="B58" s="157">
        <v>37260</v>
      </c>
      <c r="C58" s="158">
        <v>4</v>
      </c>
      <c r="D58" s="159">
        <f>'JSM Eingabe+TW'!CW35</f>
        <v>9.9999999999999995E-7</v>
      </c>
      <c r="E58" s="159">
        <f t="shared" si="5"/>
        <v>0</v>
      </c>
      <c r="F58" s="160">
        <f t="shared" si="0"/>
        <v>9.9999999999999995E-7</v>
      </c>
      <c r="G58" s="160">
        <f t="shared" si="6"/>
        <v>1.1999999999999999E-6</v>
      </c>
      <c r="H58" s="160">
        <f t="shared" si="7"/>
        <v>0</v>
      </c>
      <c r="I58" s="160">
        <f>'JSM Eingabe+TW'!$K$18*3.6*24</f>
        <v>0</v>
      </c>
      <c r="J58" s="159">
        <f t="shared" si="1"/>
        <v>9.9999999999999995E-7</v>
      </c>
      <c r="K58" s="143">
        <f t="shared" si="2"/>
        <v>9.9999999999999995E-7</v>
      </c>
      <c r="L58" s="161" t="str">
        <f t="shared" si="3"/>
        <v xml:space="preserve"> </v>
      </c>
      <c r="M58" s="162">
        <f t="shared" si="4"/>
        <v>9.9999999999999995E-7</v>
      </c>
      <c r="N58" s="162"/>
      <c r="V58" s="143"/>
      <c r="W58" s="142"/>
      <c r="X58" s="142"/>
      <c r="Y58" s="142"/>
      <c r="Z58" s="142"/>
      <c r="AA58" s="142"/>
    </row>
    <row r="59" spans="2:27" s="141" customFormat="1" x14ac:dyDescent="0.2">
      <c r="B59" s="157">
        <v>37261</v>
      </c>
      <c r="C59" s="158">
        <v>5</v>
      </c>
      <c r="D59" s="159">
        <f>'JSM Eingabe+TW'!CW36</f>
        <v>9.9999999999999995E-7</v>
      </c>
      <c r="E59" s="159">
        <f t="shared" si="5"/>
        <v>0</v>
      </c>
      <c r="F59" s="160">
        <f t="shared" si="0"/>
        <v>9.9999999999999995E-7</v>
      </c>
      <c r="G59" s="160">
        <f t="shared" si="6"/>
        <v>1.1999999999999999E-6</v>
      </c>
      <c r="H59" s="160">
        <f t="shared" si="7"/>
        <v>0</v>
      </c>
      <c r="I59" s="160">
        <f>'JSM Eingabe+TW'!$K$18*3.6*24</f>
        <v>0</v>
      </c>
      <c r="J59" s="159">
        <f t="shared" si="1"/>
        <v>9.9999999999999995E-7</v>
      </c>
      <c r="K59" s="143">
        <f t="shared" si="2"/>
        <v>9.9999999999999995E-7</v>
      </c>
      <c r="L59" s="161" t="str">
        <f t="shared" si="3"/>
        <v xml:space="preserve"> </v>
      </c>
      <c r="M59" s="162">
        <f t="shared" si="4"/>
        <v>9.9999999999999995E-7</v>
      </c>
      <c r="N59" s="162"/>
      <c r="V59" s="143"/>
      <c r="W59" s="142"/>
      <c r="X59" s="142"/>
      <c r="Y59" s="142"/>
      <c r="Z59" s="142"/>
      <c r="AA59" s="142"/>
    </row>
    <row r="60" spans="2:27" s="141" customFormat="1" x14ac:dyDescent="0.2">
      <c r="B60" s="157">
        <v>37262</v>
      </c>
      <c r="C60" s="158">
        <v>6</v>
      </c>
      <c r="D60" s="159">
        <f>'JSM Eingabe+TW'!CW37</f>
        <v>9.9999999999999995E-7</v>
      </c>
      <c r="E60" s="159">
        <f t="shared" si="5"/>
        <v>0</v>
      </c>
      <c r="F60" s="160">
        <f t="shared" si="0"/>
        <v>9.9999999999999995E-7</v>
      </c>
      <c r="G60" s="160">
        <f t="shared" si="6"/>
        <v>1.1999999999999999E-6</v>
      </c>
      <c r="H60" s="160">
        <f t="shared" si="7"/>
        <v>0</v>
      </c>
      <c r="I60" s="160">
        <f>'JSM Eingabe+TW'!$K$18*3.6*24</f>
        <v>0</v>
      </c>
      <c r="J60" s="159">
        <f t="shared" si="1"/>
        <v>9.9999999999999995E-7</v>
      </c>
      <c r="K60" s="143">
        <f t="shared" si="2"/>
        <v>9.9999999999999995E-7</v>
      </c>
      <c r="L60" s="161" t="str">
        <f t="shared" si="3"/>
        <v xml:space="preserve"> </v>
      </c>
      <c r="M60" s="162">
        <f t="shared" si="4"/>
        <v>9.9999999999999995E-7</v>
      </c>
      <c r="N60" s="162"/>
      <c r="V60" s="143"/>
      <c r="W60" s="142"/>
      <c r="X60" s="142"/>
      <c r="Y60" s="142"/>
      <c r="Z60" s="142"/>
      <c r="AA60" s="142"/>
    </row>
    <row r="61" spans="2:27" s="141" customFormat="1" x14ac:dyDescent="0.2">
      <c r="B61" s="157">
        <v>37263</v>
      </c>
      <c r="C61" s="158">
        <v>7</v>
      </c>
      <c r="D61" s="159">
        <f>'JSM Eingabe+TW'!CW38</f>
        <v>9.9999999999999995E-7</v>
      </c>
      <c r="E61" s="159">
        <f t="shared" si="5"/>
        <v>0</v>
      </c>
      <c r="F61" s="160">
        <f t="shared" si="0"/>
        <v>9.9999999999999995E-7</v>
      </c>
      <c r="G61" s="160">
        <f t="shared" si="6"/>
        <v>1.1999999999999999E-6</v>
      </c>
      <c r="H61" s="160">
        <f t="shared" si="7"/>
        <v>0</v>
      </c>
      <c r="I61" s="160">
        <f>'JSM Eingabe+TW'!$K$18*3.6*24</f>
        <v>0</v>
      </c>
      <c r="J61" s="159">
        <f t="shared" si="1"/>
        <v>9.9999999999999995E-7</v>
      </c>
      <c r="K61" s="143">
        <f t="shared" si="2"/>
        <v>9.9999999999999995E-7</v>
      </c>
      <c r="L61" s="161" t="str">
        <f t="shared" si="3"/>
        <v xml:space="preserve"> </v>
      </c>
      <c r="M61" s="162">
        <f t="shared" si="4"/>
        <v>9.9999999999999995E-7</v>
      </c>
      <c r="N61" s="162"/>
      <c r="V61" s="143"/>
      <c r="W61" s="142"/>
      <c r="X61" s="142"/>
      <c r="Y61" s="142"/>
      <c r="Z61" s="142"/>
      <c r="AA61" s="142"/>
    </row>
    <row r="62" spans="2:27" s="141" customFormat="1" x14ac:dyDescent="0.2">
      <c r="B62" s="157">
        <v>37264</v>
      </c>
      <c r="C62" s="158">
        <v>8</v>
      </c>
      <c r="D62" s="159">
        <f>'JSM Eingabe+TW'!CW39</f>
        <v>9.9999999999999995E-7</v>
      </c>
      <c r="E62" s="159">
        <f t="shared" si="5"/>
        <v>0</v>
      </c>
      <c r="F62" s="160">
        <f t="shared" si="0"/>
        <v>9.9999999999999995E-7</v>
      </c>
      <c r="G62" s="160">
        <f t="shared" si="6"/>
        <v>1.1999999999999999E-6</v>
      </c>
      <c r="H62" s="160">
        <f t="shared" si="7"/>
        <v>0</v>
      </c>
      <c r="I62" s="160">
        <f>'JSM Eingabe+TW'!$K$18*3.6*24</f>
        <v>0</v>
      </c>
      <c r="J62" s="159">
        <f t="shared" si="1"/>
        <v>9.9999999999999995E-7</v>
      </c>
      <c r="K62" s="143">
        <f t="shared" si="2"/>
        <v>9.9999999999999995E-7</v>
      </c>
      <c r="L62" s="161" t="str">
        <f t="shared" si="3"/>
        <v xml:space="preserve"> </v>
      </c>
      <c r="M62" s="162">
        <f t="shared" si="4"/>
        <v>9.9999999999999995E-7</v>
      </c>
      <c r="N62" s="162"/>
      <c r="V62" s="143"/>
      <c r="W62" s="142"/>
      <c r="X62" s="142"/>
      <c r="Y62" s="142"/>
      <c r="Z62" s="142"/>
      <c r="AA62" s="142"/>
    </row>
    <row r="63" spans="2:27" s="141" customFormat="1" x14ac:dyDescent="0.2">
      <c r="B63" s="157">
        <v>37265</v>
      </c>
      <c r="C63" s="158">
        <v>9</v>
      </c>
      <c r="D63" s="159">
        <f>'JSM Eingabe+TW'!CW40</f>
        <v>9.9999999999999995E-7</v>
      </c>
      <c r="E63" s="159">
        <f t="shared" si="5"/>
        <v>0</v>
      </c>
      <c r="F63" s="160">
        <f t="shared" si="0"/>
        <v>9.9999999999999995E-7</v>
      </c>
      <c r="G63" s="160">
        <f t="shared" si="6"/>
        <v>1.1999999999999999E-6</v>
      </c>
      <c r="H63" s="160">
        <f t="shared" si="7"/>
        <v>0</v>
      </c>
      <c r="I63" s="160">
        <f>'JSM Eingabe+TW'!$K$18*3.6*24</f>
        <v>0</v>
      </c>
      <c r="J63" s="159">
        <f t="shared" si="1"/>
        <v>9.9999999999999995E-7</v>
      </c>
      <c r="K63" s="143">
        <f t="shared" si="2"/>
        <v>9.9999999999999995E-7</v>
      </c>
      <c r="L63" s="161" t="str">
        <f t="shared" si="3"/>
        <v xml:space="preserve"> </v>
      </c>
      <c r="M63" s="162">
        <f t="shared" si="4"/>
        <v>9.9999999999999995E-7</v>
      </c>
      <c r="N63" s="162"/>
      <c r="V63" s="143"/>
      <c r="W63" s="142"/>
      <c r="X63" s="142"/>
      <c r="Y63" s="142"/>
      <c r="Z63" s="142"/>
      <c r="AA63" s="142"/>
    </row>
    <row r="64" spans="2:27" s="141" customFormat="1" x14ac:dyDescent="0.2">
      <c r="B64" s="157">
        <v>37266</v>
      </c>
      <c r="C64" s="158">
        <v>10</v>
      </c>
      <c r="D64" s="159">
        <f>'JSM Eingabe+TW'!CW41</f>
        <v>9.9999999999999995E-7</v>
      </c>
      <c r="E64" s="159">
        <f t="shared" si="5"/>
        <v>0</v>
      </c>
      <c r="F64" s="160">
        <f t="shared" si="0"/>
        <v>9.9999999999999995E-7</v>
      </c>
      <c r="G64" s="160">
        <f t="shared" si="6"/>
        <v>1.1999999999999999E-6</v>
      </c>
      <c r="H64" s="160">
        <f t="shared" si="7"/>
        <v>0</v>
      </c>
      <c r="I64" s="160">
        <f>'JSM Eingabe+TW'!$K$18*3.6*24</f>
        <v>0</v>
      </c>
      <c r="J64" s="159">
        <f t="shared" si="1"/>
        <v>9.9999999999999995E-7</v>
      </c>
      <c r="K64" s="143">
        <f t="shared" si="2"/>
        <v>9.9999999999999995E-7</v>
      </c>
      <c r="L64" s="161" t="str">
        <f t="shared" si="3"/>
        <v xml:space="preserve"> </v>
      </c>
      <c r="M64" s="162">
        <f t="shared" si="4"/>
        <v>9.9999999999999995E-7</v>
      </c>
      <c r="N64" s="162"/>
      <c r="V64" s="143"/>
      <c r="W64" s="142"/>
      <c r="X64" s="142"/>
      <c r="Y64" s="142"/>
      <c r="Z64" s="142"/>
      <c r="AA64" s="142"/>
    </row>
    <row r="65" spans="2:27" s="141" customFormat="1" x14ac:dyDescent="0.2">
      <c r="B65" s="157">
        <v>37267</v>
      </c>
      <c r="C65" s="158">
        <v>11</v>
      </c>
      <c r="D65" s="159">
        <f>'JSM Eingabe+TW'!CW42</f>
        <v>9.9999999999999995E-7</v>
      </c>
      <c r="E65" s="159">
        <f t="shared" si="5"/>
        <v>0</v>
      </c>
      <c r="F65" s="163">
        <f>SMALL(D55:D75,1)</f>
        <v>9.9999999999999995E-7</v>
      </c>
      <c r="G65" s="160">
        <f t="shared" si="6"/>
        <v>1.1999999999999999E-6</v>
      </c>
      <c r="H65" s="160">
        <f t="shared" si="7"/>
        <v>0</v>
      </c>
      <c r="I65" s="160">
        <f>'JSM Eingabe+TW'!$K$18*3.6*24</f>
        <v>0</v>
      </c>
      <c r="J65" s="159">
        <f t="shared" si="1"/>
        <v>9.9999999999999995E-7</v>
      </c>
      <c r="K65" s="143">
        <f t="shared" si="2"/>
        <v>9.9999999999999995E-7</v>
      </c>
      <c r="L65" s="161" t="str">
        <f t="shared" si="3"/>
        <v xml:space="preserve"> </v>
      </c>
      <c r="M65" s="162">
        <f t="shared" si="4"/>
        <v>9.9999999999999995E-7</v>
      </c>
      <c r="N65" s="162"/>
      <c r="V65" s="143"/>
      <c r="W65" s="142"/>
      <c r="X65" s="142"/>
      <c r="Y65" s="142"/>
      <c r="Z65" s="142"/>
      <c r="AA65" s="142"/>
    </row>
    <row r="66" spans="2:27" s="141" customFormat="1" x14ac:dyDescent="0.2">
      <c r="B66" s="157">
        <v>37268</v>
      </c>
      <c r="C66" s="158">
        <v>12</v>
      </c>
      <c r="D66" s="159">
        <f>'JSM Eingabe+TW'!CW43</f>
        <v>9.9999999999999995E-7</v>
      </c>
      <c r="E66" s="159">
        <f t="shared" si="5"/>
        <v>0</v>
      </c>
      <c r="F66" s="163">
        <f t="shared" ref="F66:F129" si="8">SMALL(D56:D76,1)</f>
        <v>9.9999999999999995E-7</v>
      </c>
      <c r="G66" s="160">
        <f t="shared" si="6"/>
        <v>1.1999999999999999E-6</v>
      </c>
      <c r="H66" s="160">
        <f t="shared" si="7"/>
        <v>0</v>
      </c>
      <c r="I66" s="160">
        <f>'JSM Eingabe+TW'!$K$18*3.6*24</f>
        <v>0</v>
      </c>
      <c r="J66" s="159">
        <f t="shared" si="1"/>
        <v>9.9999999999999995E-7</v>
      </c>
      <c r="K66" s="143">
        <f t="shared" si="2"/>
        <v>9.9999999999999995E-7</v>
      </c>
      <c r="L66" s="161" t="str">
        <f t="shared" si="3"/>
        <v xml:space="preserve"> </v>
      </c>
      <c r="M66" s="162">
        <f t="shared" si="4"/>
        <v>9.9999999999999995E-7</v>
      </c>
      <c r="N66" s="162"/>
      <c r="V66" s="143"/>
      <c r="W66" s="142"/>
      <c r="X66" s="142"/>
      <c r="Y66" s="142"/>
      <c r="Z66" s="142"/>
      <c r="AA66" s="142"/>
    </row>
    <row r="67" spans="2:27" s="141" customFormat="1" x14ac:dyDescent="0.2">
      <c r="B67" s="157">
        <v>37269</v>
      </c>
      <c r="C67" s="158">
        <v>13</v>
      </c>
      <c r="D67" s="159">
        <f>'JSM Eingabe+TW'!CW44</f>
        <v>9.9999999999999995E-7</v>
      </c>
      <c r="E67" s="159">
        <f t="shared" si="5"/>
        <v>0</v>
      </c>
      <c r="F67" s="163">
        <f t="shared" si="8"/>
        <v>9.9999999999999995E-7</v>
      </c>
      <c r="G67" s="160">
        <f t="shared" si="6"/>
        <v>1.1999999999999999E-6</v>
      </c>
      <c r="H67" s="160">
        <f t="shared" si="7"/>
        <v>0</v>
      </c>
      <c r="I67" s="160">
        <f>'JSM Eingabe+TW'!$K$18*3.6*24</f>
        <v>0</v>
      </c>
      <c r="J67" s="159">
        <f t="shared" si="1"/>
        <v>9.9999999999999995E-7</v>
      </c>
      <c r="K67" s="143">
        <f t="shared" si="2"/>
        <v>9.9999999999999995E-7</v>
      </c>
      <c r="L67" s="161" t="str">
        <f t="shared" si="3"/>
        <v xml:space="preserve"> </v>
      </c>
      <c r="M67" s="162">
        <f t="shared" si="4"/>
        <v>9.9999999999999995E-7</v>
      </c>
      <c r="N67" s="162"/>
      <c r="V67" s="143"/>
      <c r="W67" s="142"/>
      <c r="X67" s="142"/>
      <c r="Y67" s="142"/>
      <c r="Z67" s="142"/>
      <c r="AA67" s="142"/>
    </row>
    <row r="68" spans="2:27" s="141" customFormat="1" x14ac:dyDescent="0.2">
      <c r="B68" s="157">
        <v>37270</v>
      </c>
      <c r="C68" s="158">
        <v>14</v>
      </c>
      <c r="D68" s="159">
        <f>'JSM Eingabe+TW'!CW45</f>
        <v>9.9999999999999995E-7</v>
      </c>
      <c r="E68" s="159">
        <f t="shared" si="5"/>
        <v>0</v>
      </c>
      <c r="F68" s="163">
        <f t="shared" si="8"/>
        <v>9.9999999999999995E-7</v>
      </c>
      <c r="G68" s="160">
        <f t="shared" si="6"/>
        <v>1.1999999999999999E-6</v>
      </c>
      <c r="H68" s="160">
        <f t="shared" si="7"/>
        <v>0</v>
      </c>
      <c r="I68" s="160">
        <f>'JSM Eingabe+TW'!$K$18*3.6*24</f>
        <v>0</v>
      </c>
      <c r="J68" s="159">
        <f t="shared" si="1"/>
        <v>9.9999999999999995E-7</v>
      </c>
      <c r="K68" s="143">
        <f t="shared" si="2"/>
        <v>9.9999999999999995E-7</v>
      </c>
      <c r="L68" s="161" t="str">
        <f t="shared" si="3"/>
        <v xml:space="preserve"> </v>
      </c>
      <c r="M68" s="162">
        <f t="shared" si="4"/>
        <v>9.9999999999999995E-7</v>
      </c>
      <c r="N68" s="162"/>
      <c r="V68" s="143"/>
      <c r="W68" s="142"/>
      <c r="X68" s="142"/>
      <c r="Y68" s="142"/>
      <c r="Z68" s="142"/>
      <c r="AA68" s="142"/>
    </row>
    <row r="69" spans="2:27" s="141" customFormat="1" x14ac:dyDescent="0.2">
      <c r="B69" s="157">
        <v>37271</v>
      </c>
      <c r="C69" s="158">
        <v>15</v>
      </c>
      <c r="D69" s="159">
        <f>'JSM Eingabe+TW'!CW46</f>
        <v>9.9999999999999995E-7</v>
      </c>
      <c r="E69" s="159">
        <f t="shared" si="5"/>
        <v>0</v>
      </c>
      <c r="F69" s="163">
        <f t="shared" si="8"/>
        <v>9.9999999999999995E-7</v>
      </c>
      <c r="G69" s="160">
        <f t="shared" si="6"/>
        <v>1.1999999999999999E-6</v>
      </c>
      <c r="H69" s="160">
        <f t="shared" si="7"/>
        <v>0</v>
      </c>
      <c r="I69" s="160">
        <f>'JSM Eingabe+TW'!$K$18*3.6*24</f>
        <v>0</v>
      </c>
      <c r="J69" s="159">
        <f t="shared" si="1"/>
        <v>9.9999999999999995E-7</v>
      </c>
      <c r="K69" s="143">
        <f t="shared" si="2"/>
        <v>9.9999999999999995E-7</v>
      </c>
      <c r="L69" s="161" t="str">
        <f t="shared" si="3"/>
        <v xml:space="preserve"> </v>
      </c>
      <c r="M69" s="162">
        <f t="shared" si="4"/>
        <v>9.9999999999999995E-7</v>
      </c>
      <c r="N69" s="162"/>
      <c r="V69" s="143"/>
      <c r="W69" s="142"/>
      <c r="X69" s="142"/>
      <c r="Y69" s="142"/>
      <c r="Z69" s="142"/>
      <c r="AA69" s="142"/>
    </row>
    <row r="70" spans="2:27" s="141" customFormat="1" x14ac:dyDescent="0.2">
      <c r="B70" s="157">
        <v>37272</v>
      </c>
      <c r="C70" s="158">
        <v>16</v>
      </c>
      <c r="D70" s="159">
        <f>'JSM Eingabe+TW'!CW47</f>
        <v>9.9999999999999995E-7</v>
      </c>
      <c r="E70" s="159">
        <f t="shared" si="5"/>
        <v>0</v>
      </c>
      <c r="F70" s="163">
        <f t="shared" si="8"/>
        <v>9.9999999999999995E-7</v>
      </c>
      <c r="G70" s="160">
        <f t="shared" si="6"/>
        <v>1.1999999999999999E-6</v>
      </c>
      <c r="H70" s="160">
        <f t="shared" si="7"/>
        <v>0</v>
      </c>
      <c r="I70" s="160">
        <f>'JSM Eingabe+TW'!$K$18*3.6*24</f>
        <v>0</v>
      </c>
      <c r="J70" s="159">
        <f t="shared" si="1"/>
        <v>9.9999999999999995E-7</v>
      </c>
      <c r="K70" s="143">
        <f t="shared" si="2"/>
        <v>9.9999999999999995E-7</v>
      </c>
      <c r="L70" s="161" t="str">
        <f t="shared" si="3"/>
        <v xml:space="preserve"> </v>
      </c>
      <c r="M70" s="162">
        <f t="shared" si="4"/>
        <v>9.9999999999999995E-7</v>
      </c>
      <c r="N70" s="162"/>
      <c r="V70" s="143"/>
      <c r="W70" s="142"/>
      <c r="X70" s="142"/>
      <c r="Y70" s="142"/>
      <c r="Z70" s="142"/>
      <c r="AA70" s="142"/>
    </row>
    <row r="71" spans="2:27" s="141" customFormat="1" x14ac:dyDescent="0.2">
      <c r="B71" s="157">
        <v>37273</v>
      </c>
      <c r="C71" s="158">
        <v>17</v>
      </c>
      <c r="D71" s="159">
        <f>'JSM Eingabe+TW'!CW48</f>
        <v>9.9999999999999995E-7</v>
      </c>
      <c r="E71" s="159">
        <f t="shared" si="5"/>
        <v>0</v>
      </c>
      <c r="F71" s="163">
        <f t="shared" si="8"/>
        <v>9.9999999999999995E-7</v>
      </c>
      <c r="G71" s="160">
        <f t="shared" si="6"/>
        <v>1.1999999999999999E-6</v>
      </c>
      <c r="H71" s="160">
        <f t="shared" si="7"/>
        <v>0</v>
      </c>
      <c r="I71" s="160">
        <f>'JSM Eingabe+TW'!$K$18*3.6*24</f>
        <v>0</v>
      </c>
      <c r="J71" s="159">
        <f t="shared" si="1"/>
        <v>9.9999999999999995E-7</v>
      </c>
      <c r="K71" s="143">
        <f t="shared" si="2"/>
        <v>9.9999999999999995E-7</v>
      </c>
      <c r="L71" s="161" t="str">
        <f t="shared" si="3"/>
        <v xml:space="preserve"> </v>
      </c>
      <c r="M71" s="162">
        <f t="shared" si="4"/>
        <v>9.9999999999999995E-7</v>
      </c>
      <c r="N71" s="162"/>
      <c r="V71" s="143"/>
      <c r="W71" s="142"/>
      <c r="X71" s="142"/>
      <c r="Y71" s="142"/>
      <c r="Z71" s="142"/>
      <c r="AA71" s="142"/>
    </row>
    <row r="72" spans="2:27" s="141" customFormat="1" x14ac:dyDescent="0.2">
      <c r="B72" s="157">
        <v>37274</v>
      </c>
      <c r="C72" s="158">
        <v>18</v>
      </c>
      <c r="D72" s="159">
        <f>'JSM Eingabe+TW'!CW49</f>
        <v>9.9999999999999995E-7</v>
      </c>
      <c r="E72" s="159">
        <f t="shared" si="5"/>
        <v>0</v>
      </c>
      <c r="F72" s="163">
        <f t="shared" si="8"/>
        <v>9.9999999999999995E-7</v>
      </c>
      <c r="G72" s="160">
        <f t="shared" si="6"/>
        <v>1.1999999999999999E-6</v>
      </c>
      <c r="H72" s="160">
        <f t="shared" si="7"/>
        <v>0</v>
      </c>
      <c r="I72" s="160">
        <f>'JSM Eingabe+TW'!$K$18*3.6*24</f>
        <v>0</v>
      </c>
      <c r="J72" s="159">
        <f t="shared" si="1"/>
        <v>9.9999999999999995E-7</v>
      </c>
      <c r="K72" s="143">
        <f t="shared" si="2"/>
        <v>9.9999999999999995E-7</v>
      </c>
      <c r="L72" s="161" t="str">
        <f t="shared" si="3"/>
        <v xml:space="preserve"> </v>
      </c>
      <c r="M72" s="162">
        <f t="shared" si="4"/>
        <v>9.9999999999999995E-7</v>
      </c>
      <c r="N72" s="162"/>
      <c r="V72" s="143"/>
      <c r="W72" s="142"/>
      <c r="X72" s="142"/>
      <c r="Y72" s="142"/>
      <c r="Z72" s="142"/>
      <c r="AA72" s="142"/>
    </row>
    <row r="73" spans="2:27" s="141" customFormat="1" x14ac:dyDescent="0.2">
      <c r="B73" s="157">
        <v>37275</v>
      </c>
      <c r="C73" s="158">
        <v>19</v>
      </c>
      <c r="D73" s="159">
        <f>'JSM Eingabe+TW'!CW50</f>
        <v>9.9999999999999995E-7</v>
      </c>
      <c r="E73" s="159">
        <f t="shared" si="5"/>
        <v>0</v>
      </c>
      <c r="F73" s="163">
        <f t="shared" si="8"/>
        <v>9.9999999999999995E-7</v>
      </c>
      <c r="G73" s="160">
        <f t="shared" si="6"/>
        <v>1.1999999999999999E-6</v>
      </c>
      <c r="H73" s="160">
        <f t="shared" si="7"/>
        <v>0</v>
      </c>
      <c r="I73" s="160">
        <f>'JSM Eingabe+TW'!$K$18*3.6*24</f>
        <v>0</v>
      </c>
      <c r="J73" s="159">
        <f t="shared" si="1"/>
        <v>9.9999999999999995E-7</v>
      </c>
      <c r="K73" s="143">
        <f t="shared" si="2"/>
        <v>9.9999999999999995E-7</v>
      </c>
      <c r="L73" s="161" t="str">
        <f t="shared" si="3"/>
        <v xml:space="preserve"> </v>
      </c>
      <c r="M73" s="162">
        <f t="shared" si="4"/>
        <v>9.9999999999999995E-7</v>
      </c>
      <c r="N73" s="162"/>
      <c r="V73" s="143"/>
      <c r="W73" s="142"/>
      <c r="X73" s="142"/>
      <c r="Y73" s="142"/>
      <c r="Z73" s="142"/>
      <c r="AA73" s="142"/>
    </row>
    <row r="74" spans="2:27" s="141" customFormat="1" x14ac:dyDescent="0.2">
      <c r="B74" s="157">
        <v>37276</v>
      </c>
      <c r="C74" s="158">
        <v>20</v>
      </c>
      <c r="D74" s="159">
        <f>'JSM Eingabe+TW'!CW51</f>
        <v>9.9999999999999995E-7</v>
      </c>
      <c r="E74" s="159">
        <f t="shared" si="5"/>
        <v>0</v>
      </c>
      <c r="F74" s="163">
        <f t="shared" si="8"/>
        <v>9.9999999999999995E-7</v>
      </c>
      <c r="G74" s="160">
        <f t="shared" si="6"/>
        <v>1.1999999999999999E-6</v>
      </c>
      <c r="H74" s="160">
        <f t="shared" si="7"/>
        <v>0</v>
      </c>
      <c r="I74" s="160">
        <f>'JSM Eingabe+TW'!$K$18*3.6*24</f>
        <v>0</v>
      </c>
      <c r="J74" s="159">
        <f t="shared" si="1"/>
        <v>9.9999999999999995E-7</v>
      </c>
      <c r="K74" s="143">
        <f t="shared" si="2"/>
        <v>9.9999999999999995E-7</v>
      </c>
      <c r="L74" s="161" t="str">
        <f t="shared" si="3"/>
        <v xml:space="preserve"> </v>
      </c>
      <c r="M74" s="162">
        <f t="shared" si="4"/>
        <v>9.9999999999999995E-7</v>
      </c>
      <c r="N74" s="162"/>
      <c r="V74" s="143"/>
      <c r="W74" s="142"/>
      <c r="X74" s="142"/>
      <c r="Y74" s="142"/>
      <c r="Z74" s="142"/>
      <c r="AA74" s="142"/>
    </row>
    <row r="75" spans="2:27" s="141" customFormat="1" x14ac:dyDescent="0.2">
      <c r="B75" s="157">
        <v>37277</v>
      </c>
      <c r="C75" s="158">
        <v>21</v>
      </c>
      <c r="D75" s="159">
        <f>'JSM Eingabe+TW'!CW52</f>
        <v>9.9999999999999995E-7</v>
      </c>
      <c r="E75" s="159">
        <f t="shared" si="5"/>
        <v>0</v>
      </c>
      <c r="F75" s="163">
        <f t="shared" si="8"/>
        <v>9.9999999999999995E-7</v>
      </c>
      <c r="G75" s="160">
        <f t="shared" si="6"/>
        <v>1.1999999999999999E-6</v>
      </c>
      <c r="H75" s="160">
        <f t="shared" si="7"/>
        <v>0</v>
      </c>
      <c r="I75" s="160">
        <f>'JSM Eingabe+TW'!$K$18*3.6*24</f>
        <v>0</v>
      </c>
      <c r="J75" s="159">
        <f t="shared" si="1"/>
        <v>9.9999999999999995E-7</v>
      </c>
      <c r="K75" s="143">
        <f t="shared" si="2"/>
        <v>9.9999999999999995E-7</v>
      </c>
      <c r="L75" s="161" t="str">
        <f t="shared" si="3"/>
        <v xml:space="preserve"> </v>
      </c>
      <c r="M75" s="162">
        <f t="shared" si="4"/>
        <v>9.9999999999999995E-7</v>
      </c>
      <c r="N75" s="162"/>
      <c r="V75" s="143"/>
      <c r="W75" s="142"/>
      <c r="X75" s="142"/>
      <c r="Y75" s="142"/>
      <c r="Z75" s="142"/>
      <c r="AA75" s="142"/>
    </row>
    <row r="76" spans="2:27" s="141" customFormat="1" x14ac:dyDescent="0.2">
      <c r="B76" s="157">
        <v>37278</v>
      </c>
      <c r="C76" s="158">
        <v>22</v>
      </c>
      <c r="D76" s="159">
        <f>'JSM Eingabe+TW'!CW53</f>
        <v>9.9999999999999995E-7</v>
      </c>
      <c r="E76" s="159">
        <f t="shared" si="5"/>
        <v>0</v>
      </c>
      <c r="F76" s="163">
        <f t="shared" si="8"/>
        <v>9.9999999999999995E-7</v>
      </c>
      <c r="G76" s="160">
        <f t="shared" si="6"/>
        <v>1.1999999999999999E-6</v>
      </c>
      <c r="H76" s="160">
        <f t="shared" si="7"/>
        <v>0</v>
      </c>
      <c r="I76" s="160">
        <f>'JSM Eingabe+TW'!$K$18*3.6*24</f>
        <v>0</v>
      </c>
      <c r="J76" s="159">
        <f t="shared" si="1"/>
        <v>9.9999999999999995E-7</v>
      </c>
      <c r="K76" s="143">
        <f t="shared" si="2"/>
        <v>9.9999999999999995E-7</v>
      </c>
      <c r="L76" s="161" t="str">
        <f t="shared" si="3"/>
        <v xml:space="preserve"> </v>
      </c>
      <c r="M76" s="162">
        <f t="shared" si="4"/>
        <v>9.9999999999999995E-7</v>
      </c>
      <c r="N76" s="162"/>
      <c r="V76" s="143"/>
      <c r="W76" s="142"/>
      <c r="X76" s="142"/>
      <c r="Y76" s="142"/>
      <c r="Z76" s="142"/>
      <c r="AA76" s="142"/>
    </row>
    <row r="77" spans="2:27" s="141" customFormat="1" x14ac:dyDescent="0.2">
      <c r="B77" s="157">
        <v>37279</v>
      </c>
      <c r="C77" s="158">
        <v>23</v>
      </c>
      <c r="D77" s="159">
        <f>'JSM Eingabe+TW'!CW54</f>
        <v>9.9999999999999995E-7</v>
      </c>
      <c r="E77" s="159">
        <f t="shared" si="5"/>
        <v>0</v>
      </c>
      <c r="F77" s="163">
        <f t="shared" si="8"/>
        <v>9.9999999999999995E-7</v>
      </c>
      <c r="G77" s="160">
        <f t="shared" si="6"/>
        <v>1.1999999999999999E-6</v>
      </c>
      <c r="H77" s="160">
        <f t="shared" si="7"/>
        <v>0</v>
      </c>
      <c r="I77" s="160">
        <f>'JSM Eingabe+TW'!$K$18*3.6*24</f>
        <v>0</v>
      </c>
      <c r="J77" s="159">
        <f t="shared" si="1"/>
        <v>9.9999999999999995E-7</v>
      </c>
      <c r="K77" s="143">
        <f t="shared" si="2"/>
        <v>9.9999999999999995E-7</v>
      </c>
      <c r="L77" s="161" t="str">
        <f t="shared" si="3"/>
        <v xml:space="preserve"> </v>
      </c>
      <c r="M77" s="162">
        <f t="shared" si="4"/>
        <v>9.9999999999999995E-7</v>
      </c>
      <c r="N77" s="162"/>
      <c r="V77" s="143"/>
      <c r="W77" s="142"/>
      <c r="X77" s="142"/>
      <c r="Y77" s="142"/>
      <c r="Z77" s="142"/>
      <c r="AA77" s="142"/>
    </row>
    <row r="78" spans="2:27" s="141" customFormat="1" x14ac:dyDescent="0.2">
      <c r="B78" s="157">
        <v>37280</v>
      </c>
      <c r="C78" s="158">
        <v>24</v>
      </c>
      <c r="D78" s="159">
        <f>'JSM Eingabe+TW'!CW55</f>
        <v>9.9999999999999995E-7</v>
      </c>
      <c r="E78" s="159">
        <f t="shared" si="5"/>
        <v>0</v>
      </c>
      <c r="F78" s="163">
        <f t="shared" si="8"/>
        <v>9.9999999999999995E-7</v>
      </c>
      <c r="G78" s="160">
        <f t="shared" si="6"/>
        <v>1.1999999999999999E-6</v>
      </c>
      <c r="H78" s="160">
        <f t="shared" si="7"/>
        <v>0</v>
      </c>
      <c r="I78" s="160">
        <f>'JSM Eingabe+TW'!$K$18*3.6*24</f>
        <v>0</v>
      </c>
      <c r="J78" s="159">
        <f t="shared" si="1"/>
        <v>9.9999999999999995E-7</v>
      </c>
      <c r="K78" s="143">
        <f t="shared" si="2"/>
        <v>9.9999999999999995E-7</v>
      </c>
      <c r="L78" s="161" t="str">
        <f t="shared" si="3"/>
        <v xml:space="preserve"> </v>
      </c>
      <c r="M78" s="162">
        <f t="shared" si="4"/>
        <v>9.9999999999999995E-7</v>
      </c>
      <c r="N78" s="162"/>
      <c r="V78" s="143"/>
      <c r="W78" s="142"/>
      <c r="X78" s="142"/>
      <c r="Y78" s="142"/>
      <c r="Z78" s="142"/>
      <c r="AA78" s="142"/>
    </row>
    <row r="79" spans="2:27" s="141" customFormat="1" x14ac:dyDescent="0.2">
      <c r="B79" s="157">
        <v>37281</v>
      </c>
      <c r="C79" s="158">
        <v>25</v>
      </c>
      <c r="D79" s="159">
        <f>'JSM Eingabe+TW'!CW56</f>
        <v>9.9999999999999995E-7</v>
      </c>
      <c r="E79" s="159">
        <f t="shared" si="5"/>
        <v>0</v>
      </c>
      <c r="F79" s="163">
        <f t="shared" si="8"/>
        <v>9.9999999999999995E-7</v>
      </c>
      <c r="G79" s="160">
        <f t="shared" si="6"/>
        <v>1.1999999999999999E-6</v>
      </c>
      <c r="H79" s="160">
        <f t="shared" si="7"/>
        <v>0</v>
      </c>
      <c r="I79" s="160">
        <f>'JSM Eingabe+TW'!$K$18*3.6*24</f>
        <v>0</v>
      </c>
      <c r="J79" s="159">
        <f t="shared" si="1"/>
        <v>9.9999999999999995E-7</v>
      </c>
      <c r="K79" s="143">
        <f t="shared" si="2"/>
        <v>9.9999999999999995E-7</v>
      </c>
      <c r="L79" s="161" t="str">
        <f t="shared" si="3"/>
        <v xml:space="preserve"> </v>
      </c>
      <c r="M79" s="162">
        <f t="shared" si="4"/>
        <v>9.9999999999999995E-7</v>
      </c>
      <c r="N79" s="162"/>
      <c r="V79" s="143"/>
      <c r="W79" s="142"/>
      <c r="X79" s="142"/>
      <c r="Y79" s="142"/>
      <c r="Z79" s="142"/>
      <c r="AA79" s="142"/>
    </row>
    <row r="80" spans="2:27" s="141" customFormat="1" x14ac:dyDescent="0.2">
      <c r="B80" s="157">
        <v>37282</v>
      </c>
      <c r="C80" s="158">
        <v>26</v>
      </c>
      <c r="D80" s="159">
        <f>'JSM Eingabe+TW'!CW57</f>
        <v>9.9999999999999995E-7</v>
      </c>
      <c r="E80" s="159">
        <f t="shared" si="5"/>
        <v>0</v>
      </c>
      <c r="F80" s="163">
        <f t="shared" si="8"/>
        <v>9.9999999999999995E-7</v>
      </c>
      <c r="G80" s="160">
        <f t="shared" si="6"/>
        <v>1.1999999999999999E-6</v>
      </c>
      <c r="H80" s="160">
        <f t="shared" si="7"/>
        <v>0</v>
      </c>
      <c r="I80" s="160">
        <f>'JSM Eingabe+TW'!$K$18*3.6*24</f>
        <v>0</v>
      </c>
      <c r="J80" s="159">
        <f t="shared" si="1"/>
        <v>9.9999999999999995E-7</v>
      </c>
      <c r="K80" s="143">
        <f t="shared" si="2"/>
        <v>9.9999999999999995E-7</v>
      </c>
      <c r="L80" s="161" t="str">
        <f t="shared" si="3"/>
        <v xml:space="preserve"> </v>
      </c>
      <c r="M80" s="162">
        <f t="shared" si="4"/>
        <v>9.9999999999999995E-7</v>
      </c>
      <c r="N80" s="162"/>
      <c r="V80" s="143"/>
      <c r="W80" s="142"/>
      <c r="X80" s="142"/>
      <c r="Y80" s="142"/>
      <c r="Z80" s="142"/>
      <c r="AA80" s="142"/>
    </row>
    <row r="81" spans="2:27" s="141" customFormat="1" x14ac:dyDescent="0.2">
      <c r="B81" s="157">
        <v>37283</v>
      </c>
      <c r="C81" s="158">
        <v>27</v>
      </c>
      <c r="D81" s="159">
        <f>'JSM Eingabe+TW'!CW58</f>
        <v>9.9999999999999995E-7</v>
      </c>
      <c r="E81" s="159">
        <f t="shared" si="5"/>
        <v>0</v>
      </c>
      <c r="F81" s="163">
        <f t="shared" si="8"/>
        <v>9.9999999999999995E-7</v>
      </c>
      <c r="G81" s="160">
        <f t="shared" si="6"/>
        <v>1.1999999999999999E-6</v>
      </c>
      <c r="H81" s="160">
        <f t="shared" si="7"/>
        <v>0</v>
      </c>
      <c r="I81" s="160">
        <f>'JSM Eingabe+TW'!$K$18*3.6*24</f>
        <v>0</v>
      </c>
      <c r="J81" s="159">
        <f t="shared" si="1"/>
        <v>9.9999999999999995E-7</v>
      </c>
      <c r="K81" s="143">
        <f t="shared" si="2"/>
        <v>9.9999999999999995E-7</v>
      </c>
      <c r="L81" s="161" t="str">
        <f t="shared" si="3"/>
        <v xml:space="preserve"> </v>
      </c>
      <c r="M81" s="162">
        <f t="shared" si="4"/>
        <v>9.9999999999999995E-7</v>
      </c>
      <c r="N81" s="162"/>
      <c r="V81" s="143"/>
      <c r="W81" s="142"/>
      <c r="X81" s="142"/>
      <c r="Y81" s="142"/>
      <c r="Z81" s="142"/>
      <c r="AA81" s="142"/>
    </row>
    <row r="82" spans="2:27" s="141" customFormat="1" x14ac:dyDescent="0.2">
      <c r="B82" s="157">
        <v>37284</v>
      </c>
      <c r="C82" s="158">
        <v>28</v>
      </c>
      <c r="D82" s="159">
        <f>'JSM Eingabe+TW'!CW59</f>
        <v>9.9999999999999995E-7</v>
      </c>
      <c r="E82" s="159">
        <f t="shared" si="5"/>
        <v>0</v>
      </c>
      <c r="F82" s="163">
        <f t="shared" si="8"/>
        <v>9.9999999999999995E-7</v>
      </c>
      <c r="G82" s="160">
        <f t="shared" si="6"/>
        <v>1.1999999999999999E-6</v>
      </c>
      <c r="H82" s="160">
        <f t="shared" si="7"/>
        <v>0</v>
      </c>
      <c r="I82" s="160">
        <f>'JSM Eingabe+TW'!$K$18*3.6*24</f>
        <v>0</v>
      </c>
      <c r="J82" s="159">
        <f t="shared" si="1"/>
        <v>9.9999999999999995E-7</v>
      </c>
      <c r="K82" s="143">
        <f t="shared" si="2"/>
        <v>9.9999999999999995E-7</v>
      </c>
      <c r="L82" s="161" t="str">
        <f t="shared" si="3"/>
        <v xml:space="preserve"> </v>
      </c>
      <c r="M82" s="162">
        <f t="shared" si="4"/>
        <v>9.9999999999999995E-7</v>
      </c>
      <c r="N82" s="162"/>
      <c r="V82" s="143"/>
      <c r="W82" s="142"/>
      <c r="X82" s="142"/>
      <c r="Y82" s="142"/>
      <c r="Z82" s="142"/>
      <c r="AA82" s="142"/>
    </row>
    <row r="83" spans="2:27" s="141" customFormat="1" x14ac:dyDescent="0.2">
      <c r="B83" s="157">
        <v>37285</v>
      </c>
      <c r="C83" s="158">
        <v>29</v>
      </c>
      <c r="D83" s="159">
        <f>'JSM Eingabe+TW'!CW60</f>
        <v>9.9999999999999995E-7</v>
      </c>
      <c r="E83" s="159">
        <f t="shared" si="5"/>
        <v>0</v>
      </c>
      <c r="F83" s="163">
        <f t="shared" si="8"/>
        <v>9.9999999999999995E-7</v>
      </c>
      <c r="G83" s="160">
        <f t="shared" si="6"/>
        <v>1.1999999999999999E-6</v>
      </c>
      <c r="H83" s="160">
        <f t="shared" si="7"/>
        <v>0</v>
      </c>
      <c r="I83" s="160">
        <f>'JSM Eingabe+TW'!$K$18*3.6*24</f>
        <v>0</v>
      </c>
      <c r="J83" s="159">
        <f t="shared" si="1"/>
        <v>9.9999999999999995E-7</v>
      </c>
      <c r="K83" s="143">
        <f t="shared" si="2"/>
        <v>9.9999999999999995E-7</v>
      </c>
      <c r="L83" s="161" t="str">
        <f t="shared" si="3"/>
        <v xml:space="preserve"> </v>
      </c>
      <c r="M83" s="162">
        <f t="shared" si="4"/>
        <v>9.9999999999999995E-7</v>
      </c>
      <c r="N83" s="162"/>
      <c r="V83" s="143"/>
      <c r="W83" s="142"/>
      <c r="X83" s="142"/>
      <c r="Y83" s="142"/>
      <c r="Z83" s="142"/>
      <c r="AA83" s="142"/>
    </row>
    <row r="84" spans="2:27" s="141" customFormat="1" x14ac:dyDescent="0.2">
      <c r="B84" s="157">
        <v>37286</v>
      </c>
      <c r="C84" s="158">
        <v>30</v>
      </c>
      <c r="D84" s="159">
        <f>'JSM Eingabe+TW'!CW61</f>
        <v>9.9999999999999995E-7</v>
      </c>
      <c r="E84" s="159">
        <f t="shared" si="5"/>
        <v>0</v>
      </c>
      <c r="F84" s="163">
        <f t="shared" si="8"/>
        <v>9.9999999999999995E-7</v>
      </c>
      <c r="G84" s="160">
        <f t="shared" si="6"/>
        <v>1.1999999999999999E-6</v>
      </c>
      <c r="H84" s="160">
        <f t="shared" si="7"/>
        <v>0</v>
      </c>
      <c r="I84" s="160">
        <f>'JSM Eingabe+TW'!$K$18*3.6*24</f>
        <v>0</v>
      </c>
      <c r="J84" s="159">
        <f t="shared" si="1"/>
        <v>9.9999999999999995E-7</v>
      </c>
      <c r="K84" s="143">
        <f t="shared" si="2"/>
        <v>9.9999999999999995E-7</v>
      </c>
      <c r="L84" s="161" t="str">
        <f t="shared" si="3"/>
        <v xml:space="preserve"> </v>
      </c>
      <c r="M84" s="162">
        <f t="shared" si="4"/>
        <v>9.9999999999999995E-7</v>
      </c>
      <c r="N84" s="162"/>
      <c r="V84" s="143"/>
      <c r="W84" s="142"/>
      <c r="X84" s="142"/>
      <c r="Y84" s="142"/>
      <c r="Z84" s="142"/>
      <c r="AA84" s="142"/>
    </row>
    <row r="85" spans="2:27" s="141" customFormat="1" x14ac:dyDescent="0.2">
      <c r="B85" s="157">
        <v>37287</v>
      </c>
      <c r="C85" s="158">
        <v>31</v>
      </c>
      <c r="D85" s="159">
        <f>'JSM Eingabe+TW'!CW62</f>
        <v>9.9999999999999995E-7</v>
      </c>
      <c r="E85" s="159">
        <f t="shared" si="5"/>
        <v>0</v>
      </c>
      <c r="F85" s="163">
        <f t="shared" si="8"/>
        <v>9.9999999999999995E-7</v>
      </c>
      <c r="G85" s="160">
        <f t="shared" si="6"/>
        <v>1.1999999999999999E-6</v>
      </c>
      <c r="H85" s="160">
        <f t="shared" si="7"/>
        <v>0</v>
      </c>
      <c r="I85" s="160">
        <f>'JSM Eingabe+TW'!$K$18*3.6*24</f>
        <v>0</v>
      </c>
      <c r="J85" s="159">
        <f t="shared" si="1"/>
        <v>9.9999999999999995E-7</v>
      </c>
      <c r="K85" s="143">
        <f t="shared" si="2"/>
        <v>9.9999999999999995E-7</v>
      </c>
      <c r="L85" s="161" t="str">
        <f t="shared" si="3"/>
        <v xml:space="preserve"> </v>
      </c>
      <c r="M85" s="162">
        <f t="shared" si="4"/>
        <v>9.9999999999999995E-7</v>
      </c>
      <c r="N85" s="162"/>
      <c r="V85" s="143"/>
      <c r="W85" s="142"/>
      <c r="X85" s="142"/>
      <c r="Y85" s="142"/>
      <c r="Z85" s="142"/>
      <c r="AA85" s="142"/>
    </row>
    <row r="86" spans="2:27" s="141" customFormat="1" x14ac:dyDescent="0.2">
      <c r="B86" s="157">
        <v>37288</v>
      </c>
      <c r="C86" s="158">
        <v>32</v>
      </c>
      <c r="D86" s="159">
        <f>'JSM Eingabe+TW'!CX32</f>
        <v>9.9999999999999995E-7</v>
      </c>
      <c r="E86" s="159">
        <f t="shared" si="5"/>
        <v>0</v>
      </c>
      <c r="F86" s="163">
        <f t="shared" si="8"/>
        <v>9.9999999999999995E-7</v>
      </c>
      <c r="G86" s="160">
        <f t="shared" si="6"/>
        <v>1.1999999999999999E-6</v>
      </c>
      <c r="H86" s="160">
        <f t="shared" si="7"/>
        <v>0</v>
      </c>
      <c r="I86" s="160">
        <f>'JSM Eingabe+TW'!$K$18*3.6*24</f>
        <v>0</v>
      </c>
      <c r="J86" s="159">
        <f t="shared" si="1"/>
        <v>9.9999999999999995E-7</v>
      </c>
      <c r="K86" s="143">
        <f t="shared" si="2"/>
        <v>9.9999999999999995E-7</v>
      </c>
      <c r="L86" s="161" t="str">
        <f t="shared" si="3"/>
        <v xml:space="preserve"> </v>
      </c>
      <c r="M86" s="162">
        <f t="shared" si="4"/>
        <v>9.9999999999999995E-7</v>
      </c>
      <c r="N86" s="162"/>
      <c r="V86" s="143"/>
      <c r="W86" s="142"/>
      <c r="X86" s="142"/>
      <c r="Y86" s="142"/>
      <c r="Z86" s="142"/>
      <c r="AA86" s="142"/>
    </row>
    <row r="87" spans="2:27" s="141" customFormat="1" x14ac:dyDescent="0.2">
      <c r="B87" s="157">
        <v>37289</v>
      </c>
      <c r="C87" s="158">
        <v>33</v>
      </c>
      <c r="D87" s="159">
        <f>'JSM Eingabe+TW'!CX33</f>
        <v>9.9999999999999995E-7</v>
      </c>
      <c r="E87" s="159">
        <f t="shared" si="5"/>
        <v>0</v>
      </c>
      <c r="F87" s="163">
        <f t="shared" si="8"/>
        <v>9.9999999999999995E-7</v>
      </c>
      <c r="G87" s="160">
        <f t="shared" si="6"/>
        <v>1.1999999999999999E-6</v>
      </c>
      <c r="H87" s="160">
        <f t="shared" si="7"/>
        <v>0</v>
      </c>
      <c r="I87" s="160">
        <f>'JSM Eingabe+TW'!$K$18*3.6*24</f>
        <v>0</v>
      </c>
      <c r="J87" s="159">
        <f t="shared" si="1"/>
        <v>9.9999999999999995E-7</v>
      </c>
      <c r="K87" s="143">
        <f t="shared" si="2"/>
        <v>9.9999999999999995E-7</v>
      </c>
      <c r="L87" s="161" t="str">
        <f t="shared" si="3"/>
        <v xml:space="preserve"> </v>
      </c>
      <c r="M87" s="162">
        <f t="shared" si="4"/>
        <v>9.9999999999999995E-7</v>
      </c>
      <c r="N87" s="162"/>
      <c r="V87" s="143"/>
      <c r="W87" s="142"/>
      <c r="X87" s="142"/>
      <c r="Y87" s="142"/>
      <c r="Z87" s="142"/>
      <c r="AA87" s="142"/>
    </row>
    <row r="88" spans="2:27" s="141" customFormat="1" x14ac:dyDescent="0.2">
      <c r="B88" s="157">
        <v>37290</v>
      </c>
      <c r="C88" s="158">
        <v>34</v>
      </c>
      <c r="D88" s="159">
        <f>'JSM Eingabe+TW'!CX34</f>
        <v>9.9999999999999995E-7</v>
      </c>
      <c r="E88" s="159">
        <f t="shared" si="5"/>
        <v>0</v>
      </c>
      <c r="F88" s="163">
        <f t="shared" si="8"/>
        <v>9.9999999999999995E-7</v>
      </c>
      <c r="G88" s="160">
        <f t="shared" si="6"/>
        <v>1.1999999999999999E-6</v>
      </c>
      <c r="H88" s="160">
        <f t="shared" si="7"/>
        <v>0</v>
      </c>
      <c r="I88" s="160">
        <f>'JSM Eingabe+TW'!$K$18*3.6*24</f>
        <v>0</v>
      </c>
      <c r="J88" s="159">
        <f t="shared" si="1"/>
        <v>9.9999999999999995E-7</v>
      </c>
      <c r="K88" s="143">
        <f t="shared" si="2"/>
        <v>9.9999999999999995E-7</v>
      </c>
      <c r="L88" s="161" t="str">
        <f t="shared" si="3"/>
        <v xml:space="preserve"> </v>
      </c>
      <c r="M88" s="162">
        <f t="shared" si="4"/>
        <v>9.9999999999999995E-7</v>
      </c>
      <c r="N88" s="162"/>
      <c r="V88" s="143"/>
      <c r="W88" s="142"/>
      <c r="X88" s="142"/>
      <c r="Y88" s="142"/>
      <c r="Z88" s="142"/>
      <c r="AA88" s="142"/>
    </row>
    <row r="89" spans="2:27" s="141" customFormat="1" x14ac:dyDescent="0.2">
      <c r="B89" s="157">
        <v>37291</v>
      </c>
      <c r="C89" s="158">
        <v>35</v>
      </c>
      <c r="D89" s="159">
        <f>'JSM Eingabe+TW'!CX35</f>
        <v>9.9999999999999995E-7</v>
      </c>
      <c r="E89" s="159">
        <f t="shared" si="5"/>
        <v>0</v>
      </c>
      <c r="F89" s="163">
        <f t="shared" si="8"/>
        <v>9.9999999999999995E-7</v>
      </c>
      <c r="G89" s="160">
        <f t="shared" si="6"/>
        <v>1.1999999999999999E-6</v>
      </c>
      <c r="H89" s="160">
        <f t="shared" si="7"/>
        <v>0</v>
      </c>
      <c r="I89" s="160">
        <f>'JSM Eingabe+TW'!$K$18*3.6*24</f>
        <v>0</v>
      </c>
      <c r="J89" s="159">
        <f t="shared" si="1"/>
        <v>9.9999999999999995E-7</v>
      </c>
      <c r="K89" s="143">
        <f t="shared" si="2"/>
        <v>9.9999999999999995E-7</v>
      </c>
      <c r="L89" s="161" t="str">
        <f t="shared" si="3"/>
        <v xml:space="preserve"> </v>
      </c>
      <c r="M89" s="162">
        <f t="shared" si="4"/>
        <v>9.9999999999999995E-7</v>
      </c>
      <c r="N89" s="162"/>
      <c r="V89" s="143"/>
      <c r="W89" s="142"/>
      <c r="X89" s="142"/>
      <c r="Y89" s="142"/>
      <c r="Z89" s="142"/>
      <c r="AA89" s="142"/>
    </row>
    <row r="90" spans="2:27" s="141" customFormat="1" x14ac:dyDescent="0.2">
      <c r="B90" s="157">
        <v>37292</v>
      </c>
      <c r="C90" s="158">
        <v>36</v>
      </c>
      <c r="D90" s="159">
        <f>'JSM Eingabe+TW'!CX36</f>
        <v>9.9999999999999995E-7</v>
      </c>
      <c r="E90" s="159">
        <f t="shared" si="5"/>
        <v>0</v>
      </c>
      <c r="F90" s="163">
        <f t="shared" si="8"/>
        <v>9.9999999999999995E-7</v>
      </c>
      <c r="G90" s="160">
        <f t="shared" si="6"/>
        <v>1.1999999999999999E-6</v>
      </c>
      <c r="H90" s="160">
        <f t="shared" si="7"/>
        <v>0</v>
      </c>
      <c r="I90" s="160">
        <f>'JSM Eingabe+TW'!$K$18*3.6*24</f>
        <v>0</v>
      </c>
      <c r="J90" s="159">
        <f t="shared" si="1"/>
        <v>9.9999999999999995E-7</v>
      </c>
      <c r="K90" s="143">
        <f t="shared" si="2"/>
        <v>9.9999999999999995E-7</v>
      </c>
      <c r="L90" s="161" t="str">
        <f t="shared" si="3"/>
        <v xml:space="preserve"> </v>
      </c>
      <c r="M90" s="162">
        <f t="shared" si="4"/>
        <v>9.9999999999999995E-7</v>
      </c>
      <c r="N90" s="162"/>
      <c r="V90" s="143"/>
      <c r="W90" s="142"/>
      <c r="X90" s="142"/>
      <c r="Y90" s="142"/>
      <c r="Z90" s="142"/>
      <c r="AA90" s="142"/>
    </row>
    <row r="91" spans="2:27" s="141" customFormat="1" x14ac:dyDescent="0.2">
      <c r="B91" s="157">
        <v>37293</v>
      </c>
      <c r="C91" s="158">
        <v>37</v>
      </c>
      <c r="D91" s="159">
        <f>'JSM Eingabe+TW'!CX37</f>
        <v>9.9999999999999995E-7</v>
      </c>
      <c r="E91" s="159">
        <f t="shared" si="5"/>
        <v>0</v>
      </c>
      <c r="F91" s="163">
        <f t="shared" si="8"/>
        <v>9.9999999999999995E-7</v>
      </c>
      <c r="G91" s="160">
        <f t="shared" si="6"/>
        <v>1.1999999999999999E-6</v>
      </c>
      <c r="H91" s="160">
        <f t="shared" si="7"/>
        <v>0</v>
      </c>
      <c r="I91" s="160">
        <f>'JSM Eingabe+TW'!$K$18*3.6*24</f>
        <v>0</v>
      </c>
      <c r="J91" s="159">
        <f t="shared" si="1"/>
        <v>9.9999999999999995E-7</v>
      </c>
      <c r="K91" s="143">
        <f t="shared" si="2"/>
        <v>9.9999999999999995E-7</v>
      </c>
      <c r="L91" s="161" t="str">
        <f t="shared" si="3"/>
        <v xml:space="preserve"> </v>
      </c>
      <c r="M91" s="162">
        <f t="shared" si="4"/>
        <v>9.9999999999999995E-7</v>
      </c>
      <c r="N91" s="162"/>
      <c r="V91" s="143"/>
      <c r="W91" s="142"/>
      <c r="X91" s="142"/>
      <c r="Y91" s="142"/>
      <c r="Z91" s="142"/>
      <c r="AA91" s="142"/>
    </row>
    <row r="92" spans="2:27" s="141" customFormat="1" x14ac:dyDescent="0.2">
      <c r="B92" s="157">
        <v>37294</v>
      </c>
      <c r="C92" s="158">
        <v>38</v>
      </c>
      <c r="D92" s="159">
        <f>'JSM Eingabe+TW'!CX38</f>
        <v>9.9999999999999995E-7</v>
      </c>
      <c r="E92" s="159">
        <f t="shared" si="5"/>
        <v>0</v>
      </c>
      <c r="F92" s="163">
        <f t="shared" si="8"/>
        <v>9.9999999999999995E-7</v>
      </c>
      <c r="G92" s="160">
        <f t="shared" si="6"/>
        <v>1.1999999999999999E-6</v>
      </c>
      <c r="H92" s="160">
        <f t="shared" si="7"/>
        <v>0</v>
      </c>
      <c r="I92" s="160">
        <f>'JSM Eingabe+TW'!$K$18*3.6*24</f>
        <v>0</v>
      </c>
      <c r="J92" s="159">
        <f t="shared" si="1"/>
        <v>9.9999999999999995E-7</v>
      </c>
      <c r="K92" s="143">
        <f t="shared" si="2"/>
        <v>9.9999999999999995E-7</v>
      </c>
      <c r="L92" s="161" t="str">
        <f t="shared" si="3"/>
        <v xml:space="preserve"> </v>
      </c>
      <c r="M92" s="162">
        <f t="shared" si="4"/>
        <v>9.9999999999999995E-7</v>
      </c>
      <c r="N92" s="162"/>
      <c r="V92" s="143"/>
      <c r="W92" s="142"/>
      <c r="X92" s="142"/>
      <c r="Y92" s="142"/>
      <c r="Z92" s="142"/>
      <c r="AA92" s="142"/>
    </row>
    <row r="93" spans="2:27" s="141" customFormat="1" x14ac:dyDescent="0.2">
      <c r="B93" s="157">
        <v>37295</v>
      </c>
      <c r="C93" s="158">
        <v>39</v>
      </c>
      <c r="D93" s="159">
        <f>'JSM Eingabe+TW'!CX39</f>
        <v>9.9999999999999995E-7</v>
      </c>
      <c r="E93" s="159">
        <f t="shared" si="5"/>
        <v>0</v>
      </c>
      <c r="F93" s="163">
        <f t="shared" si="8"/>
        <v>9.9999999999999995E-7</v>
      </c>
      <c r="G93" s="160">
        <f t="shared" si="6"/>
        <v>1.1999999999999999E-6</v>
      </c>
      <c r="H93" s="160">
        <f t="shared" si="7"/>
        <v>0</v>
      </c>
      <c r="I93" s="160">
        <f>'JSM Eingabe+TW'!$K$18*3.6*24</f>
        <v>0</v>
      </c>
      <c r="J93" s="159">
        <f t="shared" si="1"/>
        <v>9.9999999999999995E-7</v>
      </c>
      <c r="K93" s="143">
        <f t="shared" si="2"/>
        <v>9.9999999999999995E-7</v>
      </c>
      <c r="L93" s="161" t="str">
        <f t="shared" si="3"/>
        <v xml:space="preserve"> </v>
      </c>
      <c r="M93" s="162">
        <f t="shared" si="4"/>
        <v>9.9999999999999995E-7</v>
      </c>
      <c r="N93" s="162"/>
      <c r="V93" s="143"/>
      <c r="W93" s="142"/>
      <c r="X93" s="142"/>
      <c r="Y93" s="142"/>
      <c r="Z93" s="142"/>
      <c r="AA93" s="142"/>
    </row>
    <row r="94" spans="2:27" s="141" customFormat="1" x14ac:dyDescent="0.2">
      <c r="B94" s="157">
        <v>37296</v>
      </c>
      <c r="C94" s="158">
        <v>40</v>
      </c>
      <c r="D94" s="159">
        <f>'JSM Eingabe+TW'!CX40</f>
        <v>9.9999999999999995E-7</v>
      </c>
      <c r="E94" s="159">
        <f t="shared" si="5"/>
        <v>0</v>
      </c>
      <c r="F94" s="163">
        <f t="shared" si="8"/>
        <v>9.9999999999999995E-7</v>
      </c>
      <c r="G94" s="160">
        <f t="shared" si="6"/>
        <v>1.1999999999999999E-6</v>
      </c>
      <c r="H94" s="160">
        <f t="shared" si="7"/>
        <v>0</v>
      </c>
      <c r="I94" s="160">
        <f>'JSM Eingabe+TW'!$K$18*3.6*24</f>
        <v>0</v>
      </c>
      <c r="J94" s="159">
        <f t="shared" si="1"/>
        <v>9.9999999999999995E-7</v>
      </c>
      <c r="K94" s="143">
        <f t="shared" si="2"/>
        <v>9.9999999999999995E-7</v>
      </c>
      <c r="L94" s="161" t="str">
        <f t="shared" si="3"/>
        <v xml:space="preserve"> </v>
      </c>
      <c r="M94" s="162">
        <f t="shared" si="4"/>
        <v>9.9999999999999995E-7</v>
      </c>
      <c r="N94" s="162"/>
      <c r="V94" s="143"/>
      <c r="W94" s="142"/>
      <c r="X94" s="142"/>
      <c r="Y94" s="142"/>
      <c r="Z94" s="142"/>
      <c r="AA94" s="142"/>
    </row>
    <row r="95" spans="2:27" s="141" customFormat="1" x14ac:dyDescent="0.2">
      <c r="B95" s="157">
        <v>37297</v>
      </c>
      <c r="C95" s="158">
        <v>41</v>
      </c>
      <c r="D95" s="159">
        <f>'JSM Eingabe+TW'!CX41</f>
        <v>9.9999999999999995E-7</v>
      </c>
      <c r="E95" s="159">
        <f t="shared" si="5"/>
        <v>0</v>
      </c>
      <c r="F95" s="163">
        <f t="shared" si="8"/>
        <v>9.9999999999999995E-7</v>
      </c>
      <c r="G95" s="160">
        <f t="shared" si="6"/>
        <v>1.1999999999999999E-6</v>
      </c>
      <c r="H95" s="160">
        <f t="shared" si="7"/>
        <v>0</v>
      </c>
      <c r="I95" s="160">
        <f>'JSM Eingabe+TW'!$K$18*3.6*24</f>
        <v>0</v>
      </c>
      <c r="J95" s="159">
        <f t="shared" si="1"/>
        <v>9.9999999999999995E-7</v>
      </c>
      <c r="K95" s="143">
        <f t="shared" si="2"/>
        <v>9.9999999999999995E-7</v>
      </c>
      <c r="L95" s="161" t="str">
        <f t="shared" si="3"/>
        <v xml:space="preserve"> </v>
      </c>
      <c r="M95" s="162">
        <f t="shared" si="4"/>
        <v>9.9999999999999995E-7</v>
      </c>
      <c r="N95" s="162"/>
      <c r="V95" s="143"/>
      <c r="W95" s="142"/>
      <c r="X95" s="142"/>
      <c r="Y95" s="142"/>
      <c r="Z95" s="142"/>
      <c r="AA95" s="142"/>
    </row>
    <row r="96" spans="2:27" s="141" customFormat="1" x14ac:dyDescent="0.2">
      <c r="B96" s="157">
        <v>37298</v>
      </c>
      <c r="C96" s="158">
        <v>42</v>
      </c>
      <c r="D96" s="159">
        <f>'JSM Eingabe+TW'!CX42</f>
        <v>9.9999999999999995E-7</v>
      </c>
      <c r="E96" s="159">
        <f t="shared" si="5"/>
        <v>0</v>
      </c>
      <c r="F96" s="163">
        <f t="shared" si="8"/>
        <v>9.9999999999999995E-7</v>
      </c>
      <c r="G96" s="160">
        <f t="shared" si="6"/>
        <v>1.1999999999999999E-6</v>
      </c>
      <c r="H96" s="160">
        <f t="shared" si="7"/>
        <v>0</v>
      </c>
      <c r="I96" s="160">
        <f>'JSM Eingabe+TW'!$K$18*3.6*24</f>
        <v>0</v>
      </c>
      <c r="J96" s="159">
        <f t="shared" si="1"/>
        <v>9.9999999999999995E-7</v>
      </c>
      <c r="K96" s="143">
        <f t="shared" si="2"/>
        <v>9.9999999999999995E-7</v>
      </c>
      <c r="L96" s="161" t="str">
        <f t="shared" si="3"/>
        <v xml:space="preserve"> </v>
      </c>
      <c r="M96" s="162">
        <f t="shared" si="4"/>
        <v>9.9999999999999995E-7</v>
      </c>
      <c r="N96" s="162"/>
      <c r="V96" s="143"/>
      <c r="W96" s="142"/>
      <c r="X96" s="142"/>
      <c r="Y96" s="142"/>
      <c r="Z96" s="142"/>
      <c r="AA96" s="142"/>
    </row>
    <row r="97" spans="2:27" s="141" customFormat="1" x14ac:dyDescent="0.2">
      <c r="B97" s="157">
        <v>37299</v>
      </c>
      <c r="C97" s="158">
        <v>43</v>
      </c>
      <c r="D97" s="159">
        <f>'JSM Eingabe+TW'!CX43</f>
        <v>9.9999999999999995E-7</v>
      </c>
      <c r="E97" s="159">
        <f t="shared" si="5"/>
        <v>0</v>
      </c>
      <c r="F97" s="163">
        <f t="shared" si="8"/>
        <v>9.9999999999999995E-7</v>
      </c>
      <c r="G97" s="160">
        <f t="shared" si="6"/>
        <v>1.1999999999999999E-6</v>
      </c>
      <c r="H97" s="160">
        <f t="shared" si="7"/>
        <v>0</v>
      </c>
      <c r="I97" s="160">
        <f>'JSM Eingabe+TW'!$K$18*3.6*24</f>
        <v>0</v>
      </c>
      <c r="J97" s="159">
        <f t="shared" si="1"/>
        <v>9.9999999999999995E-7</v>
      </c>
      <c r="K97" s="143">
        <f t="shared" si="2"/>
        <v>9.9999999999999995E-7</v>
      </c>
      <c r="L97" s="161" t="str">
        <f t="shared" si="3"/>
        <v xml:space="preserve"> </v>
      </c>
      <c r="M97" s="162">
        <f t="shared" si="4"/>
        <v>9.9999999999999995E-7</v>
      </c>
      <c r="N97" s="162"/>
      <c r="V97" s="143"/>
      <c r="W97" s="142"/>
      <c r="X97" s="142"/>
      <c r="Y97" s="142"/>
      <c r="Z97" s="142"/>
      <c r="AA97" s="142"/>
    </row>
    <row r="98" spans="2:27" s="141" customFormat="1" x14ac:dyDescent="0.2">
      <c r="B98" s="157">
        <v>37300</v>
      </c>
      <c r="C98" s="158">
        <v>44</v>
      </c>
      <c r="D98" s="159">
        <f>'JSM Eingabe+TW'!CX44</f>
        <v>9.9999999999999995E-7</v>
      </c>
      <c r="E98" s="159">
        <f t="shared" si="5"/>
        <v>0</v>
      </c>
      <c r="F98" s="163">
        <f t="shared" si="8"/>
        <v>9.9999999999999995E-7</v>
      </c>
      <c r="G98" s="160">
        <f t="shared" si="6"/>
        <v>1.1999999999999999E-6</v>
      </c>
      <c r="H98" s="160">
        <f t="shared" si="7"/>
        <v>0</v>
      </c>
      <c r="I98" s="160">
        <f>'JSM Eingabe+TW'!$K$18*3.6*24</f>
        <v>0</v>
      </c>
      <c r="J98" s="159">
        <f t="shared" si="1"/>
        <v>9.9999999999999995E-7</v>
      </c>
      <c r="K98" s="143">
        <f t="shared" si="2"/>
        <v>9.9999999999999995E-7</v>
      </c>
      <c r="L98" s="161" t="str">
        <f t="shared" si="3"/>
        <v xml:space="preserve"> </v>
      </c>
      <c r="M98" s="162">
        <f t="shared" si="4"/>
        <v>9.9999999999999995E-7</v>
      </c>
      <c r="N98" s="162"/>
      <c r="V98" s="143"/>
      <c r="W98" s="142"/>
      <c r="X98" s="142"/>
      <c r="Y98" s="142"/>
      <c r="Z98" s="142"/>
      <c r="AA98" s="142"/>
    </row>
    <row r="99" spans="2:27" s="141" customFormat="1" x14ac:dyDescent="0.2">
      <c r="B99" s="157">
        <v>37301</v>
      </c>
      <c r="C99" s="158">
        <v>45</v>
      </c>
      <c r="D99" s="159">
        <f>'JSM Eingabe+TW'!CX45</f>
        <v>9.9999999999999995E-7</v>
      </c>
      <c r="E99" s="159">
        <f t="shared" si="5"/>
        <v>0</v>
      </c>
      <c r="F99" s="163">
        <f t="shared" si="8"/>
        <v>9.9999999999999995E-7</v>
      </c>
      <c r="G99" s="160">
        <f t="shared" si="6"/>
        <v>1.1999999999999999E-6</v>
      </c>
      <c r="H99" s="160">
        <f t="shared" si="7"/>
        <v>0</v>
      </c>
      <c r="I99" s="160">
        <f>'JSM Eingabe+TW'!$K$18*3.6*24</f>
        <v>0</v>
      </c>
      <c r="J99" s="159">
        <f t="shared" si="1"/>
        <v>9.9999999999999995E-7</v>
      </c>
      <c r="K99" s="143">
        <f t="shared" si="2"/>
        <v>9.9999999999999995E-7</v>
      </c>
      <c r="L99" s="161" t="str">
        <f t="shared" si="3"/>
        <v xml:space="preserve"> </v>
      </c>
      <c r="M99" s="162">
        <f t="shared" si="4"/>
        <v>9.9999999999999995E-7</v>
      </c>
      <c r="N99" s="162"/>
      <c r="V99" s="143"/>
      <c r="W99" s="142"/>
      <c r="X99" s="142"/>
      <c r="Y99" s="142"/>
      <c r="Z99" s="142"/>
      <c r="AA99" s="142"/>
    </row>
    <row r="100" spans="2:27" s="141" customFormat="1" x14ac:dyDescent="0.2">
      <c r="B100" s="157">
        <v>37302</v>
      </c>
      <c r="C100" s="158">
        <v>46</v>
      </c>
      <c r="D100" s="159">
        <f>'JSM Eingabe+TW'!CX46</f>
        <v>9.9999999999999995E-7</v>
      </c>
      <c r="E100" s="159">
        <f t="shared" si="5"/>
        <v>0</v>
      </c>
      <c r="F100" s="163">
        <f t="shared" si="8"/>
        <v>9.9999999999999995E-7</v>
      </c>
      <c r="G100" s="160">
        <f t="shared" si="6"/>
        <v>1.1999999999999999E-6</v>
      </c>
      <c r="H100" s="160">
        <f t="shared" si="7"/>
        <v>0</v>
      </c>
      <c r="I100" s="160">
        <f>'JSM Eingabe+TW'!$K$18*3.6*24</f>
        <v>0</v>
      </c>
      <c r="J100" s="159">
        <f t="shared" si="1"/>
        <v>9.9999999999999995E-7</v>
      </c>
      <c r="K100" s="143">
        <f t="shared" si="2"/>
        <v>9.9999999999999995E-7</v>
      </c>
      <c r="L100" s="161" t="str">
        <f t="shared" si="3"/>
        <v xml:space="preserve"> </v>
      </c>
      <c r="M100" s="162">
        <f t="shared" si="4"/>
        <v>9.9999999999999995E-7</v>
      </c>
      <c r="N100" s="162"/>
      <c r="V100" s="143"/>
      <c r="W100" s="142"/>
      <c r="X100" s="142"/>
      <c r="Y100" s="142"/>
      <c r="Z100" s="142"/>
      <c r="AA100" s="142"/>
    </row>
    <row r="101" spans="2:27" s="141" customFormat="1" x14ac:dyDescent="0.2">
      <c r="B101" s="157">
        <v>37303</v>
      </c>
      <c r="C101" s="158">
        <v>47</v>
      </c>
      <c r="D101" s="159">
        <f>'JSM Eingabe+TW'!CX47</f>
        <v>9.9999999999999995E-7</v>
      </c>
      <c r="E101" s="159">
        <f t="shared" si="5"/>
        <v>0</v>
      </c>
      <c r="F101" s="163">
        <f t="shared" si="8"/>
        <v>9.9999999999999995E-7</v>
      </c>
      <c r="G101" s="160">
        <f t="shared" si="6"/>
        <v>1.1999999999999999E-6</v>
      </c>
      <c r="H101" s="160">
        <f t="shared" si="7"/>
        <v>0</v>
      </c>
      <c r="I101" s="160">
        <f>'JSM Eingabe+TW'!$K$18*3.6*24</f>
        <v>0</v>
      </c>
      <c r="J101" s="159">
        <f t="shared" si="1"/>
        <v>9.9999999999999995E-7</v>
      </c>
      <c r="K101" s="143">
        <f t="shared" si="2"/>
        <v>9.9999999999999995E-7</v>
      </c>
      <c r="L101" s="161" t="str">
        <f t="shared" si="3"/>
        <v xml:space="preserve"> </v>
      </c>
      <c r="M101" s="162">
        <f t="shared" si="4"/>
        <v>9.9999999999999995E-7</v>
      </c>
      <c r="N101" s="162"/>
      <c r="V101" s="143"/>
      <c r="W101" s="142"/>
      <c r="X101" s="142"/>
      <c r="Y101" s="142"/>
      <c r="Z101" s="142"/>
      <c r="AA101" s="142"/>
    </row>
    <row r="102" spans="2:27" s="141" customFormat="1" x14ac:dyDescent="0.2">
      <c r="B102" s="157">
        <v>37304</v>
      </c>
      <c r="C102" s="158">
        <v>48</v>
      </c>
      <c r="D102" s="159">
        <f>'JSM Eingabe+TW'!CX48</f>
        <v>9.9999999999999995E-7</v>
      </c>
      <c r="E102" s="159">
        <f t="shared" si="5"/>
        <v>0</v>
      </c>
      <c r="F102" s="163">
        <f t="shared" si="8"/>
        <v>9.9999999999999995E-7</v>
      </c>
      <c r="G102" s="160">
        <f t="shared" si="6"/>
        <v>1.1999999999999999E-6</v>
      </c>
      <c r="H102" s="160">
        <f t="shared" si="7"/>
        <v>0</v>
      </c>
      <c r="I102" s="160">
        <f>'JSM Eingabe+TW'!$K$18*3.6*24</f>
        <v>0</v>
      </c>
      <c r="J102" s="159">
        <f t="shared" si="1"/>
        <v>9.9999999999999995E-7</v>
      </c>
      <c r="K102" s="143">
        <f t="shared" si="2"/>
        <v>9.9999999999999995E-7</v>
      </c>
      <c r="L102" s="161" t="str">
        <f t="shared" si="3"/>
        <v xml:space="preserve"> </v>
      </c>
      <c r="M102" s="162">
        <f t="shared" si="4"/>
        <v>9.9999999999999995E-7</v>
      </c>
      <c r="N102" s="162"/>
      <c r="V102" s="143"/>
      <c r="W102" s="142"/>
      <c r="X102" s="142"/>
      <c r="Y102" s="142"/>
      <c r="Z102" s="142"/>
      <c r="AA102" s="142"/>
    </row>
    <row r="103" spans="2:27" s="141" customFormat="1" x14ac:dyDescent="0.2">
      <c r="B103" s="157">
        <v>37305</v>
      </c>
      <c r="C103" s="158">
        <v>49</v>
      </c>
      <c r="D103" s="159">
        <f>'JSM Eingabe+TW'!CX49</f>
        <v>9.9999999999999995E-7</v>
      </c>
      <c r="E103" s="159">
        <f t="shared" si="5"/>
        <v>0</v>
      </c>
      <c r="F103" s="163">
        <f t="shared" si="8"/>
        <v>9.9999999999999995E-7</v>
      </c>
      <c r="G103" s="160">
        <f t="shared" si="6"/>
        <v>1.1999999999999999E-6</v>
      </c>
      <c r="H103" s="160">
        <f t="shared" si="7"/>
        <v>0</v>
      </c>
      <c r="I103" s="160">
        <f>'JSM Eingabe+TW'!$K$18*3.6*24</f>
        <v>0</v>
      </c>
      <c r="J103" s="159">
        <f t="shared" si="1"/>
        <v>9.9999999999999995E-7</v>
      </c>
      <c r="K103" s="143">
        <f t="shared" si="2"/>
        <v>9.9999999999999995E-7</v>
      </c>
      <c r="L103" s="161" t="str">
        <f t="shared" si="3"/>
        <v xml:space="preserve"> </v>
      </c>
      <c r="M103" s="162">
        <f t="shared" si="4"/>
        <v>9.9999999999999995E-7</v>
      </c>
      <c r="N103" s="162"/>
      <c r="V103" s="143"/>
      <c r="W103" s="142"/>
      <c r="X103" s="142"/>
      <c r="Y103" s="142"/>
      <c r="Z103" s="142"/>
      <c r="AA103" s="142"/>
    </row>
    <row r="104" spans="2:27" s="141" customFormat="1" x14ac:dyDescent="0.2">
      <c r="B104" s="157">
        <v>37306</v>
      </c>
      <c r="C104" s="158">
        <v>50</v>
      </c>
      <c r="D104" s="159">
        <f>'JSM Eingabe+TW'!CX50</f>
        <v>9.9999999999999995E-7</v>
      </c>
      <c r="E104" s="159">
        <f t="shared" si="5"/>
        <v>0</v>
      </c>
      <c r="F104" s="163">
        <f t="shared" si="8"/>
        <v>9.9999999999999995E-7</v>
      </c>
      <c r="G104" s="160">
        <f t="shared" si="6"/>
        <v>1.1999999999999999E-6</v>
      </c>
      <c r="H104" s="160">
        <f t="shared" si="7"/>
        <v>0</v>
      </c>
      <c r="I104" s="160">
        <f>'JSM Eingabe+TW'!$K$18*3.6*24</f>
        <v>0</v>
      </c>
      <c r="J104" s="159">
        <f t="shared" si="1"/>
        <v>9.9999999999999995E-7</v>
      </c>
      <c r="K104" s="143">
        <f t="shared" si="2"/>
        <v>9.9999999999999995E-7</v>
      </c>
      <c r="L104" s="161" t="str">
        <f t="shared" si="3"/>
        <v xml:space="preserve"> </v>
      </c>
      <c r="M104" s="162">
        <f t="shared" si="4"/>
        <v>9.9999999999999995E-7</v>
      </c>
      <c r="N104" s="162"/>
      <c r="V104" s="143"/>
      <c r="W104" s="142"/>
      <c r="X104" s="142"/>
      <c r="Y104" s="142"/>
      <c r="Z104" s="142"/>
      <c r="AA104" s="142"/>
    </row>
    <row r="105" spans="2:27" s="141" customFormat="1" x14ac:dyDescent="0.2">
      <c r="B105" s="157">
        <v>37307</v>
      </c>
      <c r="C105" s="158">
        <v>51</v>
      </c>
      <c r="D105" s="159">
        <f>'JSM Eingabe+TW'!CX51</f>
        <v>9.9999999999999995E-7</v>
      </c>
      <c r="E105" s="159">
        <f t="shared" si="5"/>
        <v>0</v>
      </c>
      <c r="F105" s="163">
        <f t="shared" si="8"/>
        <v>9.9999999999999995E-7</v>
      </c>
      <c r="G105" s="160">
        <f t="shared" si="6"/>
        <v>1.1999999999999999E-6</v>
      </c>
      <c r="H105" s="160">
        <f t="shared" si="7"/>
        <v>0</v>
      </c>
      <c r="I105" s="160">
        <f>'JSM Eingabe+TW'!$K$18*3.6*24</f>
        <v>0</v>
      </c>
      <c r="J105" s="159">
        <f t="shared" si="1"/>
        <v>9.9999999999999995E-7</v>
      </c>
      <c r="K105" s="143">
        <f t="shared" si="2"/>
        <v>9.9999999999999995E-7</v>
      </c>
      <c r="L105" s="161" t="str">
        <f t="shared" si="3"/>
        <v xml:space="preserve"> </v>
      </c>
      <c r="M105" s="162">
        <f t="shared" si="4"/>
        <v>9.9999999999999995E-7</v>
      </c>
      <c r="N105" s="162"/>
      <c r="V105" s="143"/>
      <c r="W105" s="142"/>
      <c r="X105" s="142"/>
      <c r="Y105" s="142"/>
      <c r="Z105" s="142"/>
      <c r="AA105" s="142"/>
    </row>
    <row r="106" spans="2:27" s="141" customFormat="1" x14ac:dyDescent="0.2">
      <c r="B106" s="157">
        <v>37308</v>
      </c>
      <c r="C106" s="158">
        <v>52</v>
      </c>
      <c r="D106" s="159">
        <f>'JSM Eingabe+TW'!CX52</f>
        <v>9.9999999999999995E-7</v>
      </c>
      <c r="E106" s="159">
        <f t="shared" si="5"/>
        <v>0</v>
      </c>
      <c r="F106" s="163">
        <f t="shared" si="8"/>
        <v>9.9999999999999995E-7</v>
      </c>
      <c r="G106" s="160">
        <f t="shared" si="6"/>
        <v>1.1999999999999999E-6</v>
      </c>
      <c r="H106" s="160">
        <f t="shared" si="7"/>
        <v>0</v>
      </c>
      <c r="I106" s="160">
        <f>'JSM Eingabe+TW'!$K$18*3.6*24</f>
        <v>0</v>
      </c>
      <c r="J106" s="159">
        <f t="shared" si="1"/>
        <v>9.9999999999999995E-7</v>
      </c>
      <c r="K106" s="143">
        <f t="shared" si="2"/>
        <v>9.9999999999999995E-7</v>
      </c>
      <c r="L106" s="161" t="str">
        <f t="shared" si="3"/>
        <v xml:space="preserve"> </v>
      </c>
      <c r="M106" s="162">
        <f t="shared" si="4"/>
        <v>9.9999999999999995E-7</v>
      </c>
      <c r="N106" s="162"/>
      <c r="V106" s="143"/>
      <c r="W106" s="142"/>
      <c r="X106" s="142"/>
      <c r="Y106" s="142"/>
      <c r="Z106" s="142"/>
      <c r="AA106" s="142"/>
    </row>
    <row r="107" spans="2:27" s="141" customFormat="1" x14ac:dyDescent="0.2">
      <c r="B107" s="157">
        <v>37309</v>
      </c>
      <c r="C107" s="158">
        <v>53</v>
      </c>
      <c r="D107" s="159">
        <f>'JSM Eingabe+TW'!CX53</f>
        <v>9.9999999999999995E-7</v>
      </c>
      <c r="E107" s="159">
        <f t="shared" si="5"/>
        <v>0</v>
      </c>
      <c r="F107" s="163">
        <f t="shared" si="8"/>
        <v>9.9999999999999995E-7</v>
      </c>
      <c r="G107" s="160">
        <f t="shared" si="6"/>
        <v>1.1999999999999999E-6</v>
      </c>
      <c r="H107" s="160">
        <f t="shared" si="7"/>
        <v>0</v>
      </c>
      <c r="I107" s="160">
        <f>'JSM Eingabe+TW'!$K$18*3.6*24</f>
        <v>0</v>
      </c>
      <c r="J107" s="159">
        <f t="shared" si="1"/>
        <v>9.9999999999999995E-7</v>
      </c>
      <c r="K107" s="143">
        <f t="shared" si="2"/>
        <v>9.9999999999999995E-7</v>
      </c>
      <c r="L107" s="161" t="str">
        <f t="shared" si="3"/>
        <v xml:space="preserve"> </v>
      </c>
      <c r="M107" s="162">
        <f t="shared" si="4"/>
        <v>9.9999999999999995E-7</v>
      </c>
      <c r="N107" s="162"/>
      <c r="V107" s="143"/>
      <c r="W107" s="142"/>
      <c r="X107" s="142"/>
      <c r="Y107" s="142"/>
      <c r="Z107" s="142"/>
      <c r="AA107" s="142"/>
    </row>
    <row r="108" spans="2:27" s="141" customFormat="1" x14ac:dyDescent="0.2">
      <c r="B108" s="157">
        <v>37310</v>
      </c>
      <c r="C108" s="158">
        <v>54</v>
      </c>
      <c r="D108" s="159">
        <f>'JSM Eingabe+TW'!CX54</f>
        <v>9.9999999999999995E-7</v>
      </c>
      <c r="E108" s="159">
        <f t="shared" si="5"/>
        <v>0</v>
      </c>
      <c r="F108" s="163">
        <f t="shared" si="8"/>
        <v>9.9999999999999995E-7</v>
      </c>
      <c r="G108" s="160">
        <f t="shared" si="6"/>
        <v>1.1999999999999999E-6</v>
      </c>
      <c r="H108" s="160">
        <f t="shared" si="7"/>
        <v>0</v>
      </c>
      <c r="I108" s="160">
        <f>'JSM Eingabe+TW'!$K$18*3.6*24</f>
        <v>0</v>
      </c>
      <c r="J108" s="159">
        <f t="shared" si="1"/>
        <v>9.9999999999999995E-7</v>
      </c>
      <c r="K108" s="143">
        <f t="shared" si="2"/>
        <v>9.9999999999999995E-7</v>
      </c>
      <c r="L108" s="161" t="str">
        <f t="shared" si="3"/>
        <v xml:space="preserve"> </v>
      </c>
      <c r="M108" s="162">
        <f t="shared" si="4"/>
        <v>9.9999999999999995E-7</v>
      </c>
      <c r="N108" s="162"/>
      <c r="V108" s="143"/>
      <c r="W108" s="142"/>
      <c r="X108" s="142"/>
      <c r="Y108" s="142"/>
      <c r="Z108" s="142"/>
      <c r="AA108" s="142"/>
    </row>
    <row r="109" spans="2:27" s="141" customFormat="1" x14ac:dyDescent="0.2">
      <c r="B109" s="157">
        <v>37311</v>
      </c>
      <c r="C109" s="158">
        <v>55</v>
      </c>
      <c r="D109" s="159">
        <f>'JSM Eingabe+TW'!CX55</f>
        <v>9.9999999999999995E-7</v>
      </c>
      <c r="E109" s="159">
        <f t="shared" si="5"/>
        <v>0</v>
      </c>
      <c r="F109" s="163">
        <f t="shared" si="8"/>
        <v>9.9999999999999995E-7</v>
      </c>
      <c r="G109" s="160">
        <f t="shared" si="6"/>
        <v>1.1999999999999999E-6</v>
      </c>
      <c r="H109" s="160">
        <f t="shared" si="7"/>
        <v>0</v>
      </c>
      <c r="I109" s="160">
        <f>'JSM Eingabe+TW'!$K$18*3.6*24</f>
        <v>0</v>
      </c>
      <c r="J109" s="159">
        <f t="shared" si="1"/>
        <v>9.9999999999999995E-7</v>
      </c>
      <c r="K109" s="143">
        <f t="shared" si="2"/>
        <v>9.9999999999999995E-7</v>
      </c>
      <c r="L109" s="161" t="str">
        <f t="shared" si="3"/>
        <v xml:space="preserve"> </v>
      </c>
      <c r="M109" s="162">
        <f t="shared" si="4"/>
        <v>9.9999999999999995E-7</v>
      </c>
      <c r="N109" s="162"/>
      <c r="V109" s="143"/>
      <c r="W109" s="142"/>
      <c r="X109" s="142"/>
      <c r="Y109" s="142"/>
      <c r="Z109" s="142"/>
      <c r="AA109" s="142"/>
    </row>
    <row r="110" spans="2:27" s="141" customFormat="1" x14ac:dyDescent="0.2">
      <c r="B110" s="157">
        <v>37312</v>
      </c>
      <c r="C110" s="158">
        <v>56</v>
      </c>
      <c r="D110" s="159">
        <f>'JSM Eingabe+TW'!CX56</f>
        <v>9.9999999999999995E-7</v>
      </c>
      <c r="E110" s="159">
        <f t="shared" si="5"/>
        <v>0</v>
      </c>
      <c r="F110" s="163">
        <f t="shared" si="8"/>
        <v>9.9999999999999995E-7</v>
      </c>
      <c r="G110" s="160">
        <f t="shared" si="6"/>
        <v>1.1999999999999999E-6</v>
      </c>
      <c r="H110" s="160">
        <f t="shared" si="7"/>
        <v>0</v>
      </c>
      <c r="I110" s="160">
        <f>'JSM Eingabe+TW'!$K$18*3.6*24</f>
        <v>0</v>
      </c>
      <c r="J110" s="159">
        <f t="shared" si="1"/>
        <v>9.9999999999999995E-7</v>
      </c>
      <c r="K110" s="143">
        <f t="shared" si="2"/>
        <v>9.9999999999999995E-7</v>
      </c>
      <c r="L110" s="161" t="str">
        <f t="shared" si="3"/>
        <v xml:space="preserve"> </v>
      </c>
      <c r="M110" s="162">
        <f t="shared" si="4"/>
        <v>9.9999999999999995E-7</v>
      </c>
      <c r="N110" s="162"/>
      <c r="V110" s="143"/>
      <c r="W110" s="142"/>
      <c r="X110" s="142"/>
      <c r="Y110" s="142"/>
      <c r="Z110" s="142"/>
      <c r="AA110" s="142"/>
    </row>
    <row r="111" spans="2:27" s="141" customFormat="1" x14ac:dyDescent="0.2">
      <c r="B111" s="157">
        <v>37313</v>
      </c>
      <c r="C111" s="158">
        <v>57</v>
      </c>
      <c r="D111" s="159">
        <f>'JSM Eingabe+TW'!CX57</f>
        <v>9.9999999999999995E-7</v>
      </c>
      <c r="E111" s="159">
        <f t="shared" si="5"/>
        <v>0</v>
      </c>
      <c r="F111" s="163">
        <f t="shared" si="8"/>
        <v>9.9999999999999995E-7</v>
      </c>
      <c r="G111" s="160">
        <f t="shared" si="6"/>
        <v>1.1999999999999999E-6</v>
      </c>
      <c r="H111" s="160">
        <f t="shared" si="7"/>
        <v>0</v>
      </c>
      <c r="I111" s="160">
        <f>'JSM Eingabe+TW'!$K$18*3.6*24</f>
        <v>0</v>
      </c>
      <c r="J111" s="159">
        <f t="shared" si="1"/>
        <v>9.9999999999999995E-7</v>
      </c>
      <c r="K111" s="143">
        <f t="shared" si="2"/>
        <v>9.9999999999999995E-7</v>
      </c>
      <c r="L111" s="161" t="str">
        <f t="shared" si="3"/>
        <v xml:space="preserve"> </v>
      </c>
      <c r="M111" s="162">
        <f t="shared" si="4"/>
        <v>9.9999999999999995E-7</v>
      </c>
      <c r="N111" s="162"/>
      <c r="V111" s="143"/>
      <c r="W111" s="142"/>
      <c r="X111" s="142"/>
      <c r="Y111" s="142"/>
      <c r="Z111" s="142"/>
      <c r="AA111" s="142"/>
    </row>
    <row r="112" spans="2:27" s="141" customFormat="1" x14ac:dyDescent="0.2">
      <c r="B112" s="157">
        <v>37314</v>
      </c>
      <c r="C112" s="158">
        <v>58</v>
      </c>
      <c r="D112" s="159">
        <f>'JSM Eingabe+TW'!CX58</f>
        <v>9.9999999999999995E-7</v>
      </c>
      <c r="E112" s="159">
        <f t="shared" si="5"/>
        <v>0</v>
      </c>
      <c r="F112" s="163">
        <f t="shared" si="8"/>
        <v>9.9999999999999995E-7</v>
      </c>
      <c r="G112" s="160">
        <f t="shared" si="6"/>
        <v>1.1999999999999999E-6</v>
      </c>
      <c r="H112" s="160">
        <f t="shared" si="7"/>
        <v>0</v>
      </c>
      <c r="I112" s="160">
        <f>'JSM Eingabe+TW'!$K$18*3.6*24</f>
        <v>0</v>
      </c>
      <c r="J112" s="159">
        <f t="shared" si="1"/>
        <v>9.9999999999999995E-7</v>
      </c>
      <c r="K112" s="143">
        <f t="shared" si="2"/>
        <v>9.9999999999999995E-7</v>
      </c>
      <c r="L112" s="161" t="str">
        <f t="shared" si="3"/>
        <v xml:space="preserve"> </v>
      </c>
      <c r="M112" s="162">
        <f t="shared" si="4"/>
        <v>9.9999999999999995E-7</v>
      </c>
      <c r="N112" s="162"/>
      <c r="V112" s="143"/>
      <c r="W112" s="142"/>
      <c r="X112" s="142"/>
      <c r="Y112" s="142"/>
      <c r="Z112" s="142"/>
      <c r="AA112" s="142"/>
    </row>
    <row r="113" spans="2:27" s="141" customFormat="1" x14ac:dyDescent="0.2">
      <c r="B113" s="157">
        <v>37315</v>
      </c>
      <c r="C113" s="158">
        <v>59</v>
      </c>
      <c r="D113" s="159">
        <f>'JSM Eingabe+TW'!CX59</f>
        <v>9.9999999999999995E-7</v>
      </c>
      <c r="E113" s="159">
        <f t="shared" si="5"/>
        <v>0</v>
      </c>
      <c r="F113" s="163">
        <f t="shared" si="8"/>
        <v>9.9999999999999995E-7</v>
      </c>
      <c r="G113" s="160">
        <f t="shared" si="6"/>
        <v>1.1999999999999999E-6</v>
      </c>
      <c r="H113" s="160">
        <f t="shared" si="7"/>
        <v>0</v>
      </c>
      <c r="I113" s="160">
        <f>'JSM Eingabe+TW'!$K$18*3.6*24</f>
        <v>0</v>
      </c>
      <c r="J113" s="159">
        <f t="shared" si="1"/>
        <v>9.9999999999999995E-7</v>
      </c>
      <c r="K113" s="143">
        <f t="shared" si="2"/>
        <v>9.9999999999999995E-7</v>
      </c>
      <c r="L113" s="161" t="str">
        <f t="shared" si="3"/>
        <v xml:space="preserve"> </v>
      </c>
      <c r="M113" s="162">
        <f t="shared" si="4"/>
        <v>9.9999999999999995E-7</v>
      </c>
      <c r="N113" s="162"/>
      <c r="V113" s="143"/>
      <c r="W113" s="142"/>
      <c r="X113" s="142"/>
      <c r="Y113" s="142"/>
      <c r="Z113" s="142"/>
      <c r="AA113" s="142"/>
    </row>
    <row r="114" spans="2:27" s="141" customFormat="1" x14ac:dyDescent="0.2">
      <c r="B114" s="157">
        <v>37316</v>
      </c>
      <c r="C114" s="158">
        <v>60</v>
      </c>
      <c r="D114" s="159">
        <f>'JSM Eingabe+TW'!CY32</f>
        <v>9.9999999999999995E-7</v>
      </c>
      <c r="E114" s="159">
        <f t="shared" si="5"/>
        <v>0</v>
      </c>
      <c r="F114" s="163">
        <f t="shared" si="8"/>
        <v>9.9999999999999995E-7</v>
      </c>
      <c r="G114" s="160">
        <f t="shared" si="6"/>
        <v>1.1999999999999999E-6</v>
      </c>
      <c r="H114" s="160">
        <f t="shared" si="7"/>
        <v>0</v>
      </c>
      <c r="I114" s="160">
        <f>'JSM Eingabe+TW'!$K$18*3.6*24</f>
        <v>0</v>
      </c>
      <c r="J114" s="159">
        <f t="shared" si="1"/>
        <v>9.9999999999999995E-7</v>
      </c>
      <c r="K114" s="143">
        <f t="shared" si="2"/>
        <v>9.9999999999999995E-7</v>
      </c>
      <c r="L114" s="161" t="str">
        <f t="shared" si="3"/>
        <v xml:space="preserve"> </v>
      </c>
      <c r="M114" s="162">
        <f t="shared" si="4"/>
        <v>9.9999999999999995E-7</v>
      </c>
      <c r="N114" s="162"/>
      <c r="V114" s="143"/>
      <c r="W114" s="142"/>
      <c r="X114" s="142"/>
      <c r="Y114" s="142"/>
      <c r="Z114" s="142"/>
      <c r="AA114" s="142"/>
    </row>
    <row r="115" spans="2:27" s="141" customFormat="1" x14ac:dyDescent="0.2">
      <c r="B115" s="157">
        <v>37317</v>
      </c>
      <c r="C115" s="158">
        <v>61</v>
      </c>
      <c r="D115" s="159">
        <f>'JSM Eingabe+TW'!CY33</f>
        <v>9.9999999999999995E-7</v>
      </c>
      <c r="E115" s="159">
        <f t="shared" si="5"/>
        <v>0</v>
      </c>
      <c r="F115" s="163">
        <f t="shared" si="8"/>
        <v>9.9999999999999995E-7</v>
      </c>
      <c r="G115" s="160">
        <f t="shared" si="6"/>
        <v>1.1999999999999999E-6</v>
      </c>
      <c r="H115" s="160">
        <f t="shared" si="7"/>
        <v>0</v>
      </c>
      <c r="I115" s="160">
        <f>'JSM Eingabe+TW'!$K$18*3.6*24</f>
        <v>0</v>
      </c>
      <c r="J115" s="159">
        <f t="shared" si="1"/>
        <v>9.9999999999999995E-7</v>
      </c>
      <c r="K115" s="143">
        <f t="shared" si="2"/>
        <v>9.9999999999999995E-7</v>
      </c>
      <c r="L115" s="161" t="str">
        <f t="shared" si="3"/>
        <v xml:space="preserve"> </v>
      </c>
      <c r="M115" s="162">
        <f t="shared" si="4"/>
        <v>9.9999999999999995E-7</v>
      </c>
      <c r="N115" s="162"/>
      <c r="V115" s="143"/>
      <c r="W115" s="142"/>
      <c r="X115" s="142"/>
      <c r="Y115" s="142"/>
      <c r="Z115" s="142"/>
      <c r="AA115" s="142"/>
    </row>
    <row r="116" spans="2:27" s="141" customFormat="1" x14ac:dyDescent="0.2">
      <c r="B116" s="157">
        <v>37318</v>
      </c>
      <c r="C116" s="158">
        <v>62</v>
      </c>
      <c r="D116" s="159">
        <f>'JSM Eingabe+TW'!CY34</f>
        <v>9.9999999999999995E-7</v>
      </c>
      <c r="E116" s="159">
        <f t="shared" si="5"/>
        <v>0</v>
      </c>
      <c r="F116" s="163">
        <f t="shared" si="8"/>
        <v>9.9999999999999995E-7</v>
      </c>
      <c r="G116" s="160">
        <f t="shared" si="6"/>
        <v>1.1999999999999999E-6</v>
      </c>
      <c r="H116" s="160">
        <f t="shared" si="7"/>
        <v>0</v>
      </c>
      <c r="I116" s="160">
        <f>'JSM Eingabe+TW'!$K$18*3.6*24</f>
        <v>0</v>
      </c>
      <c r="J116" s="159">
        <f t="shared" si="1"/>
        <v>9.9999999999999995E-7</v>
      </c>
      <c r="K116" s="143">
        <f t="shared" si="2"/>
        <v>9.9999999999999995E-7</v>
      </c>
      <c r="L116" s="161" t="str">
        <f t="shared" si="3"/>
        <v xml:space="preserve"> </v>
      </c>
      <c r="M116" s="162">
        <f t="shared" si="4"/>
        <v>9.9999999999999995E-7</v>
      </c>
      <c r="N116" s="162"/>
      <c r="V116" s="143"/>
      <c r="W116" s="142"/>
      <c r="X116" s="142"/>
      <c r="Y116" s="142"/>
      <c r="Z116" s="142"/>
      <c r="AA116" s="142"/>
    </row>
    <row r="117" spans="2:27" s="141" customFormat="1" x14ac:dyDescent="0.2">
      <c r="B117" s="157">
        <v>37319</v>
      </c>
      <c r="C117" s="158">
        <v>63</v>
      </c>
      <c r="D117" s="159">
        <f>'JSM Eingabe+TW'!CY35</f>
        <v>9.9999999999999995E-7</v>
      </c>
      <c r="E117" s="159">
        <f t="shared" si="5"/>
        <v>0</v>
      </c>
      <c r="F117" s="163">
        <f t="shared" si="8"/>
        <v>9.9999999999999995E-7</v>
      </c>
      <c r="G117" s="160">
        <f t="shared" si="6"/>
        <v>1.1999999999999999E-6</v>
      </c>
      <c r="H117" s="160">
        <f t="shared" si="7"/>
        <v>0</v>
      </c>
      <c r="I117" s="160">
        <f>'JSM Eingabe+TW'!$K$18*3.6*24</f>
        <v>0</v>
      </c>
      <c r="J117" s="159">
        <f t="shared" si="1"/>
        <v>9.9999999999999995E-7</v>
      </c>
      <c r="K117" s="143">
        <f t="shared" si="2"/>
        <v>9.9999999999999995E-7</v>
      </c>
      <c r="L117" s="161" t="str">
        <f t="shared" si="3"/>
        <v xml:space="preserve"> </v>
      </c>
      <c r="M117" s="162">
        <f t="shared" si="4"/>
        <v>9.9999999999999995E-7</v>
      </c>
      <c r="N117" s="162"/>
      <c r="V117" s="143"/>
      <c r="W117" s="142"/>
      <c r="X117" s="142"/>
      <c r="Y117" s="142"/>
      <c r="Z117" s="142"/>
      <c r="AA117" s="142"/>
    </row>
    <row r="118" spans="2:27" s="141" customFormat="1" x14ac:dyDescent="0.2">
      <c r="B118" s="157">
        <v>37320</v>
      </c>
      <c r="C118" s="158">
        <v>64</v>
      </c>
      <c r="D118" s="159">
        <f>'JSM Eingabe+TW'!CY36</f>
        <v>9.9999999999999995E-7</v>
      </c>
      <c r="E118" s="159">
        <f t="shared" si="5"/>
        <v>0</v>
      </c>
      <c r="F118" s="163">
        <f t="shared" si="8"/>
        <v>9.9999999999999995E-7</v>
      </c>
      <c r="G118" s="160">
        <f t="shared" si="6"/>
        <v>1.1999999999999999E-6</v>
      </c>
      <c r="H118" s="160">
        <f t="shared" si="7"/>
        <v>0</v>
      </c>
      <c r="I118" s="160">
        <f>'JSM Eingabe+TW'!$K$18*3.6*24</f>
        <v>0</v>
      </c>
      <c r="J118" s="159">
        <f t="shared" si="1"/>
        <v>9.9999999999999995E-7</v>
      </c>
      <c r="K118" s="143">
        <f t="shared" si="2"/>
        <v>9.9999999999999995E-7</v>
      </c>
      <c r="L118" s="161" t="str">
        <f t="shared" si="3"/>
        <v xml:space="preserve"> </v>
      </c>
      <c r="M118" s="162">
        <f t="shared" si="4"/>
        <v>9.9999999999999995E-7</v>
      </c>
      <c r="N118" s="162"/>
      <c r="V118" s="143"/>
      <c r="W118" s="142"/>
      <c r="X118" s="142"/>
      <c r="Y118" s="142"/>
      <c r="Z118" s="142"/>
      <c r="AA118" s="142"/>
    </row>
    <row r="119" spans="2:27" s="141" customFormat="1" x14ac:dyDescent="0.2">
      <c r="B119" s="157">
        <v>37321</v>
      </c>
      <c r="C119" s="158">
        <v>65</v>
      </c>
      <c r="D119" s="159">
        <f>'JSM Eingabe+TW'!CY37</f>
        <v>9.9999999999999995E-7</v>
      </c>
      <c r="E119" s="159">
        <f t="shared" si="5"/>
        <v>0</v>
      </c>
      <c r="F119" s="163">
        <f t="shared" si="8"/>
        <v>9.9999999999999995E-7</v>
      </c>
      <c r="G119" s="160">
        <f t="shared" si="6"/>
        <v>1.1999999999999999E-6</v>
      </c>
      <c r="H119" s="160">
        <f t="shared" si="7"/>
        <v>0</v>
      </c>
      <c r="I119" s="160">
        <f>'JSM Eingabe+TW'!$K$18*3.6*24</f>
        <v>0</v>
      </c>
      <c r="J119" s="159">
        <f t="shared" ref="J119:J182" si="9">IF(D119&lt;=G119,D119,0)</f>
        <v>9.9999999999999995E-7</v>
      </c>
      <c r="K119" s="143">
        <f t="shared" ref="K119:K182" si="10">IF(F119&lt;E119,0,F119-E119)</f>
        <v>9.9999999999999995E-7</v>
      </c>
      <c r="L119" s="161" t="str">
        <f t="shared" ref="L119:L182" si="11">IF(M119&lt;0,1, " ")</f>
        <v xml:space="preserve"> </v>
      </c>
      <c r="M119" s="162">
        <f t="shared" ref="M119:M182" si="12">F119-E119</f>
        <v>9.9999999999999995E-7</v>
      </c>
      <c r="N119" s="162"/>
      <c r="V119" s="143"/>
      <c r="W119" s="142"/>
      <c r="X119" s="142"/>
      <c r="Y119" s="142"/>
      <c r="Z119" s="142"/>
      <c r="AA119" s="142"/>
    </row>
    <row r="120" spans="2:27" s="141" customFormat="1" x14ac:dyDescent="0.2">
      <c r="B120" s="157">
        <v>37322</v>
      </c>
      <c r="C120" s="158">
        <v>66</v>
      </c>
      <c r="D120" s="159">
        <f>'JSM Eingabe+TW'!CY38</f>
        <v>9.9999999999999995E-7</v>
      </c>
      <c r="E120" s="159">
        <f t="shared" ref="E120:E183" si="13">$E$55</f>
        <v>0</v>
      </c>
      <c r="F120" s="163">
        <f t="shared" si="8"/>
        <v>9.9999999999999995E-7</v>
      </c>
      <c r="G120" s="160">
        <f t="shared" ref="G120:G183" si="14">F120*1.2</f>
        <v>1.1999999999999999E-6</v>
      </c>
      <c r="H120" s="160">
        <f t="shared" si="7"/>
        <v>0</v>
      </c>
      <c r="I120" s="160">
        <f>'JSM Eingabe+TW'!$K$18*3.6*24</f>
        <v>0</v>
      </c>
      <c r="J120" s="159">
        <f t="shared" si="9"/>
        <v>9.9999999999999995E-7</v>
      </c>
      <c r="K120" s="143">
        <f t="shared" si="10"/>
        <v>9.9999999999999995E-7</v>
      </c>
      <c r="L120" s="161" t="str">
        <f t="shared" si="11"/>
        <v xml:space="preserve"> </v>
      </c>
      <c r="M120" s="162">
        <f t="shared" si="12"/>
        <v>9.9999999999999995E-7</v>
      </c>
      <c r="N120" s="162"/>
      <c r="V120" s="143"/>
      <c r="W120" s="142"/>
      <c r="X120" s="142"/>
      <c r="Y120" s="142"/>
      <c r="Z120" s="142"/>
      <c r="AA120" s="142"/>
    </row>
    <row r="121" spans="2:27" s="141" customFormat="1" x14ac:dyDescent="0.2">
      <c r="B121" s="157">
        <v>37323</v>
      </c>
      <c r="C121" s="158">
        <v>67</v>
      </c>
      <c r="D121" s="159">
        <f>'JSM Eingabe+TW'!CY39</f>
        <v>9.9999999999999995E-7</v>
      </c>
      <c r="E121" s="159">
        <f t="shared" si="13"/>
        <v>0</v>
      </c>
      <c r="F121" s="163">
        <f t="shared" si="8"/>
        <v>9.9999999999999995E-7</v>
      </c>
      <c r="G121" s="160">
        <f t="shared" si="14"/>
        <v>1.1999999999999999E-6</v>
      </c>
      <c r="H121" s="160">
        <f t="shared" ref="H121:H184" si="15">H120</f>
        <v>0</v>
      </c>
      <c r="I121" s="160">
        <f>'JSM Eingabe+TW'!$K$18*3.6*24</f>
        <v>0</v>
      </c>
      <c r="J121" s="159">
        <f t="shared" si="9"/>
        <v>9.9999999999999995E-7</v>
      </c>
      <c r="K121" s="143">
        <f t="shared" si="10"/>
        <v>9.9999999999999995E-7</v>
      </c>
      <c r="L121" s="161" t="str">
        <f t="shared" si="11"/>
        <v xml:space="preserve"> </v>
      </c>
      <c r="M121" s="162">
        <f t="shared" si="12"/>
        <v>9.9999999999999995E-7</v>
      </c>
      <c r="N121" s="162"/>
      <c r="V121" s="143"/>
      <c r="W121" s="142"/>
      <c r="X121" s="142"/>
      <c r="Y121" s="142"/>
      <c r="Z121" s="142"/>
      <c r="AA121" s="142"/>
    </row>
    <row r="122" spans="2:27" s="141" customFormat="1" x14ac:dyDescent="0.2">
      <c r="B122" s="157">
        <v>37324</v>
      </c>
      <c r="C122" s="158">
        <v>68</v>
      </c>
      <c r="D122" s="159">
        <f>'JSM Eingabe+TW'!CY40</f>
        <v>9.9999999999999995E-7</v>
      </c>
      <c r="E122" s="159">
        <f t="shared" si="13"/>
        <v>0</v>
      </c>
      <c r="F122" s="163">
        <f t="shared" si="8"/>
        <v>9.9999999999999995E-7</v>
      </c>
      <c r="G122" s="160">
        <f t="shared" si="14"/>
        <v>1.1999999999999999E-6</v>
      </c>
      <c r="H122" s="160">
        <f t="shared" si="15"/>
        <v>0</v>
      </c>
      <c r="I122" s="160">
        <f>'JSM Eingabe+TW'!$K$18*3.6*24</f>
        <v>0</v>
      </c>
      <c r="J122" s="159">
        <f t="shared" si="9"/>
        <v>9.9999999999999995E-7</v>
      </c>
      <c r="K122" s="143">
        <f t="shared" si="10"/>
        <v>9.9999999999999995E-7</v>
      </c>
      <c r="L122" s="161" t="str">
        <f t="shared" si="11"/>
        <v xml:space="preserve"> </v>
      </c>
      <c r="M122" s="162">
        <f t="shared" si="12"/>
        <v>9.9999999999999995E-7</v>
      </c>
      <c r="N122" s="162"/>
      <c r="V122" s="143"/>
      <c r="W122" s="142"/>
      <c r="X122" s="142"/>
      <c r="Y122" s="142"/>
      <c r="Z122" s="142"/>
      <c r="AA122" s="142"/>
    </row>
    <row r="123" spans="2:27" s="141" customFormat="1" x14ac:dyDescent="0.2">
      <c r="B123" s="157">
        <v>37325</v>
      </c>
      <c r="C123" s="158">
        <v>69</v>
      </c>
      <c r="D123" s="159">
        <f>'JSM Eingabe+TW'!CY41</f>
        <v>9.9999999999999995E-7</v>
      </c>
      <c r="E123" s="159">
        <f t="shared" si="13"/>
        <v>0</v>
      </c>
      <c r="F123" s="163">
        <f t="shared" si="8"/>
        <v>9.9999999999999995E-7</v>
      </c>
      <c r="G123" s="160">
        <f t="shared" si="14"/>
        <v>1.1999999999999999E-6</v>
      </c>
      <c r="H123" s="160">
        <f t="shared" si="15"/>
        <v>0</v>
      </c>
      <c r="I123" s="160">
        <f>'JSM Eingabe+TW'!$K$18*3.6*24</f>
        <v>0</v>
      </c>
      <c r="J123" s="159">
        <f t="shared" si="9"/>
        <v>9.9999999999999995E-7</v>
      </c>
      <c r="K123" s="143">
        <f t="shared" si="10"/>
        <v>9.9999999999999995E-7</v>
      </c>
      <c r="L123" s="161" t="str">
        <f t="shared" si="11"/>
        <v xml:space="preserve"> </v>
      </c>
      <c r="M123" s="162">
        <f t="shared" si="12"/>
        <v>9.9999999999999995E-7</v>
      </c>
      <c r="N123" s="162"/>
      <c r="V123" s="143"/>
      <c r="W123" s="142"/>
      <c r="X123" s="142"/>
      <c r="Y123" s="142"/>
      <c r="Z123" s="142"/>
      <c r="AA123" s="142"/>
    </row>
    <row r="124" spans="2:27" s="141" customFormat="1" x14ac:dyDescent="0.2">
      <c r="B124" s="157">
        <v>37326</v>
      </c>
      <c r="C124" s="158">
        <v>70</v>
      </c>
      <c r="D124" s="159">
        <f>'JSM Eingabe+TW'!CY42</f>
        <v>9.9999999999999995E-7</v>
      </c>
      <c r="E124" s="159">
        <f t="shared" si="13"/>
        <v>0</v>
      </c>
      <c r="F124" s="163">
        <f t="shared" si="8"/>
        <v>9.9999999999999995E-7</v>
      </c>
      <c r="G124" s="160">
        <f t="shared" si="14"/>
        <v>1.1999999999999999E-6</v>
      </c>
      <c r="H124" s="160">
        <f t="shared" si="15"/>
        <v>0</v>
      </c>
      <c r="I124" s="160">
        <f>'JSM Eingabe+TW'!$K$18*3.6*24</f>
        <v>0</v>
      </c>
      <c r="J124" s="159">
        <f t="shared" si="9"/>
        <v>9.9999999999999995E-7</v>
      </c>
      <c r="K124" s="143">
        <f t="shared" si="10"/>
        <v>9.9999999999999995E-7</v>
      </c>
      <c r="L124" s="161" t="str">
        <f t="shared" si="11"/>
        <v xml:space="preserve"> </v>
      </c>
      <c r="M124" s="162">
        <f t="shared" si="12"/>
        <v>9.9999999999999995E-7</v>
      </c>
      <c r="N124" s="162"/>
      <c r="V124" s="143"/>
      <c r="W124" s="142"/>
      <c r="X124" s="142"/>
      <c r="Y124" s="142"/>
      <c r="Z124" s="142"/>
      <c r="AA124" s="142"/>
    </row>
    <row r="125" spans="2:27" s="141" customFormat="1" x14ac:dyDescent="0.2">
      <c r="B125" s="157">
        <v>37327</v>
      </c>
      <c r="C125" s="158">
        <v>71</v>
      </c>
      <c r="D125" s="159">
        <f>'JSM Eingabe+TW'!CY43</f>
        <v>9.9999999999999995E-7</v>
      </c>
      <c r="E125" s="159">
        <f t="shared" si="13"/>
        <v>0</v>
      </c>
      <c r="F125" s="163">
        <f t="shared" si="8"/>
        <v>9.9999999999999995E-7</v>
      </c>
      <c r="G125" s="160">
        <f t="shared" si="14"/>
        <v>1.1999999999999999E-6</v>
      </c>
      <c r="H125" s="160">
        <f t="shared" si="15"/>
        <v>0</v>
      </c>
      <c r="I125" s="160">
        <f>'JSM Eingabe+TW'!$K$18*3.6*24</f>
        <v>0</v>
      </c>
      <c r="J125" s="159">
        <f t="shared" si="9"/>
        <v>9.9999999999999995E-7</v>
      </c>
      <c r="K125" s="143">
        <f t="shared" si="10"/>
        <v>9.9999999999999995E-7</v>
      </c>
      <c r="L125" s="161" t="str">
        <f t="shared" si="11"/>
        <v xml:space="preserve"> </v>
      </c>
      <c r="M125" s="162">
        <f t="shared" si="12"/>
        <v>9.9999999999999995E-7</v>
      </c>
      <c r="N125" s="162"/>
      <c r="V125" s="143"/>
      <c r="W125" s="142"/>
      <c r="X125" s="142"/>
      <c r="Y125" s="142"/>
      <c r="Z125" s="142"/>
      <c r="AA125" s="142"/>
    </row>
    <row r="126" spans="2:27" s="141" customFormat="1" x14ac:dyDescent="0.2">
      <c r="B126" s="157">
        <v>37328</v>
      </c>
      <c r="C126" s="158">
        <v>72</v>
      </c>
      <c r="D126" s="159">
        <f>'JSM Eingabe+TW'!CY44</f>
        <v>9.9999999999999995E-7</v>
      </c>
      <c r="E126" s="159">
        <f t="shared" si="13"/>
        <v>0</v>
      </c>
      <c r="F126" s="163">
        <f t="shared" si="8"/>
        <v>9.9999999999999995E-7</v>
      </c>
      <c r="G126" s="160">
        <f t="shared" si="14"/>
        <v>1.1999999999999999E-6</v>
      </c>
      <c r="H126" s="160">
        <f t="shared" si="15"/>
        <v>0</v>
      </c>
      <c r="I126" s="160">
        <f>'JSM Eingabe+TW'!$K$18*3.6*24</f>
        <v>0</v>
      </c>
      <c r="J126" s="159">
        <f t="shared" si="9"/>
        <v>9.9999999999999995E-7</v>
      </c>
      <c r="K126" s="143">
        <f t="shared" si="10"/>
        <v>9.9999999999999995E-7</v>
      </c>
      <c r="L126" s="161" t="str">
        <f t="shared" si="11"/>
        <v xml:space="preserve"> </v>
      </c>
      <c r="M126" s="162">
        <f t="shared" si="12"/>
        <v>9.9999999999999995E-7</v>
      </c>
      <c r="N126" s="162"/>
      <c r="V126" s="143"/>
      <c r="W126" s="142"/>
      <c r="X126" s="142"/>
      <c r="Y126" s="142"/>
      <c r="Z126" s="142"/>
      <c r="AA126" s="142"/>
    </row>
    <row r="127" spans="2:27" s="141" customFormat="1" x14ac:dyDescent="0.2">
      <c r="B127" s="157">
        <v>37329</v>
      </c>
      <c r="C127" s="158">
        <v>73</v>
      </c>
      <c r="D127" s="159">
        <f>'JSM Eingabe+TW'!CY45</f>
        <v>9.9999999999999995E-7</v>
      </c>
      <c r="E127" s="159">
        <f t="shared" si="13"/>
        <v>0</v>
      </c>
      <c r="F127" s="163">
        <f t="shared" si="8"/>
        <v>9.9999999999999995E-7</v>
      </c>
      <c r="G127" s="160">
        <f t="shared" si="14"/>
        <v>1.1999999999999999E-6</v>
      </c>
      <c r="H127" s="160">
        <f t="shared" si="15"/>
        <v>0</v>
      </c>
      <c r="I127" s="160">
        <f>'JSM Eingabe+TW'!$K$18*3.6*24</f>
        <v>0</v>
      </c>
      <c r="J127" s="159">
        <f t="shared" si="9"/>
        <v>9.9999999999999995E-7</v>
      </c>
      <c r="K127" s="143">
        <f t="shared" si="10"/>
        <v>9.9999999999999995E-7</v>
      </c>
      <c r="L127" s="161" t="str">
        <f t="shared" si="11"/>
        <v xml:space="preserve"> </v>
      </c>
      <c r="M127" s="162">
        <f t="shared" si="12"/>
        <v>9.9999999999999995E-7</v>
      </c>
      <c r="N127" s="162"/>
      <c r="V127" s="143"/>
      <c r="W127" s="142"/>
      <c r="X127" s="142"/>
      <c r="Y127" s="142"/>
      <c r="Z127" s="142"/>
      <c r="AA127" s="142"/>
    </row>
    <row r="128" spans="2:27" s="141" customFormat="1" x14ac:dyDescent="0.2">
      <c r="B128" s="157">
        <v>37330</v>
      </c>
      <c r="C128" s="158">
        <v>74</v>
      </c>
      <c r="D128" s="159">
        <f>'JSM Eingabe+TW'!CY46</f>
        <v>9.9999999999999995E-7</v>
      </c>
      <c r="E128" s="159">
        <f t="shared" si="13"/>
        <v>0</v>
      </c>
      <c r="F128" s="163">
        <f t="shared" si="8"/>
        <v>9.9999999999999995E-7</v>
      </c>
      <c r="G128" s="160">
        <f t="shared" si="14"/>
        <v>1.1999999999999999E-6</v>
      </c>
      <c r="H128" s="160">
        <f t="shared" si="15"/>
        <v>0</v>
      </c>
      <c r="I128" s="160">
        <f>'JSM Eingabe+TW'!$K$18*3.6*24</f>
        <v>0</v>
      </c>
      <c r="J128" s="159">
        <f t="shared" si="9"/>
        <v>9.9999999999999995E-7</v>
      </c>
      <c r="K128" s="143">
        <f t="shared" si="10"/>
        <v>9.9999999999999995E-7</v>
      </c>
      <c r="L128" s="161" t="str">
        <f t="shared" si="11"/>
        <v xml:space="preserve"> </v>
      </c>
      <c r="M128" s="162">
        <f t="shared" si="12"/>
        <v>9.9999999999999995E-7</v>
      </c>
      <c r="N128" s="162"/>
      <c r="V128" s="143"/>
      <c r="W128" s="142"/>
      <c r="X128" s="142"/>
      <c r="Y128" s="142"/>
      <c r="Z128" s="142"/>
      <c r="AA128" s="142"/>
    </row>
    <row r="129" spans="2:27" s="141" customFormat="1" x14ac:dyDescent="0.2">
      <c r="B129" s="157">
        <v>37331</v>
      </c>
      <c r="C129" s="158">
        <v>75</v>
      </c>
      <c r="D129" s="159">
        <f>'JSM Eingabe+TW'!CY47</f>
        <v>9.9999999999999995E-7</v>
      </c>
      <c r="E129" s="159">
        <f t="shared" si="13"/>
        <v>0</v>
      </c>
      <c r="F129" s="163">
        <f t="shared" si="8"/>
        <v>9.9999999999999995E-7</v>
      </c>
      <c r="G129" s="160">
        <f t="shared" si="14"/>
        <v>1.1999999999999999E-6</v>
      </c>
      <c r="H129" s="160">
        <f t="shared" si="15"/>
        <v>0</v>
      </c>
      <c r="I129" s="160">
        <f>'JSM Eingabe+TW'!$K$18*3.6*24</f>
        <v>0</v>
      </c>
      <c r="J129" s="159">
        <f t="shared" si="9"/>
        <v>9.9999999999999995E-7</v>
      </c>
      <c r="K129" s="143">
        <f t="shared" si="10"/>
        <v>9.9999999999999995E-7</v>
      </c>
      <c r="L129" s="161" t="str">
        <f t="shared" si="11"/>
        <v xml:space="preserve"> </v>
      </c>
      <c r="M129" s="162">
        <f t="shared" si="12"/>
        <v>9.9999999999999995E-7</v>
      </c>
      <c r="N129" s="162"/>
      <c r="V129" s="143"/>
      <c r="W129" s="142"/>
      <c r="X129" s="142"/>
      <c r="Y129" s="142"/>
      <c r="Z129" s="142"/>
      <c r="AA129" s="142"/>
    </row>
    <row r="130" spans="2:27" s="141" customFormat="1" x14ac:dyDescent="0.2">
      <c r="B130" s="157">
        <v>37332</v>
      </c>
      <c r="C130" s="158">
        <v>76</v>
      </c>
      <c r="D130" s="159">
        <f>'JSM Eingabe+TW'!CY48</f>
        <v>9.9999999999999995E-7</v>
      </c>
      <c r="E130" s="159">
        <f t="shared" si="13"/>
        <v>0</v>
      </c>
      <c r="F130" s="163">
        <f t="shared" ref="F130:F193" si="16">SMALL(D120:D140,1)</f>
        <v>9.9999999999999995E-7</v>
      </c>
      <c r="G130" s="160">
        <f t="shared" si="14"/>
        <v>1.1999999999999999E-6</v>
      </c>
      <c r="H130" s="160">
        <f t="shared" si="15"/>
        <v>0</v>
      </c>
      <c r="I130" s="160">
        <f>'JSM Eingabe+TW'!$K$18*3.6*24</f>
        <v>0</v>
      </c>
      <c r="J130" s="159">
        <f t="shared" si="9"/>
        <v>9.9999999999999995E-7</v>
      </c>
      <c r="K130" s="143">
        <f t="shared" si="10"/>
        <v>9.9999999999999995E-7</v>
      </c>
      <c r="L130" s="161" t="str">
        <f t="shared" si="11"/>
        <v xml:space="preserve"> </v>
      </c>
      <c r="M130" s="162">
        <f t="shared" si="12"/>
        <v>9.9999999999999995E-7</v>
      </c>
      <c r="N130" s="162"/>
      <c r="V130" s="143"/>
      <c r="W130" s="142"/>
      <c r="X130" s="142"/>
      <c r="Y130" s="142"/>
      <c r="Z130" s="142"/>
      <c r="AA130" s="142"/>
    </row>
    <row r="131" spans="2:27" s="141" customFormat="1" x14ac:dyDescent="0.2">
      <c r="B131" s="157">
        <v>37333</v>
      </c>
      <c r="C131" s="158">
        <v>77</v>
      </c>
      <c r="D131" s="159">
        <f>'JSM Eingabe+TW'!CY49</f>
        <v>9.9999999999999995E-7</v>
      </c>
      <c r="E131" s="159">
        <f t="shared" si="13"/>
        <v>0</v>
      </c>
      <c r="F131" s="163">
        <f t="shared" si="16"/>
        <v>9.9999999999999995E-7</v>
      </c>
      <c r="G131" s="160">
        <f t="shared" si="14"/>
        <v>1.1999999999999999E-6</v>
      </c>
      <c r="H131" s="160">
        <f t="shared" si="15"/>
        <v>0</v>
      </c>
      <c r="I131" s="160">
        <f>'JSM Eingabe+TW'!$K$18*3.6*24</f>
        <v>0</v>
      </c>
      <c r="J131" s="159">
        <f t="shared" si="9"/>
        <v>9.9999999999999995E-7</v>
      </c>
      <c r="K131" s="143">
        <f t="shared" si="10"/>
        <v>9.9999999999999995E-7</v>
      </c>
      <c r="L131" s="161" t="str">
        <f t="shared" si="11"/>
        <v xml:space="preserve"> </v>
      </c>
      <c r="M131" s="162">
        <f t="shared" si="12"/>
        <v>9.9999999999999995E-7</v>
      </c>
      <c r="N131" s="162"/>
      <c r="V131" s="143"/>
      <c r="W131" s="142"/>
      <c r="X131" s="142"/>
      <c r="Y131" s="142"/>
      <c r="Z131" s="142"/>
      <c r="AA131" s="142"/>
    </row>
    <row r="132" spans="2:27" s="141" customFormat="1" x14ac:dyDescent="0.2">
      <c r="B132" s="157">
        <v>37334</v>
      </c>
      <c r="C132" s="158">
        <v>78</v>
      </c>
      <c r="D132" s="159">
        <f>'JSM Eingabe+TW'!CY50</f>
        <v>9.9999999999999995E-7</v>
      </c>
      <c r="E132" s="159">
        <f t="shared" si="13"/>
        <v>0</v>
      </c>
      <c r="F132" s="163">
        <f t="shared" si="16"/>
        <v>9.9999999999999995E-7</v>
      </c>
      <c r="G132" s="160">
        <f t="shared" si="14"/>
        <v>1.1999999999999999E-6</v>
      </c>
      <c r="H132" s="160">
        <f t="shared" si="15"/>
        <v>0</v>
      </c>
      <c r="I132" s="160">
        <f>'JSM Eingabe+TW'!$K$18*3.6*24</f>
        <v>0</v>
      </c>
      <c r="J132" s="159">
        <f t="shared" si="9"/>
        <v>9.9999999999999995E-7</v>
      </c>
      <c r="K132" s="143">
        <f t="shared" si="10"/>
        <v>9.9999999999999995E-7</v>
      </c>
      <c r="L132" s="161" t="str">
        <f t="shared" si="11"/>
        <v xml:space="preserve"> </v>
      </c>
      <c r="M132" s="162">
        <f t="shared" si="12"/>
        <v>9.9999999999999995E-7</v>
      </c>
      <c r="N132" s="162"/>
      <c r="V132" s="143"/>
      <c r="W132" s="142"/>
      <c r="X132" s="142"/>
      <c r="Y132" s="142"/>
      <c r="Z132" s="142"/>
      <c r="AA132" s="142"/>
    </row>
    <row r="133" spans="2:27" s="141" customFormat="1" x14ac:dyDescent="0.2">
      <c r="B133" s="157">
        <v>37335</v>
      </c>
      <c r="C133" s="158">
        <v>79</v>
      </c>
      <c r="D133" s="159">
        <f>'JSM Eingabe+TW'!CY51</f>
        <v>9.9999999999999995E-7</v>
      </c>
      <c r="E133" s="159">
        <f t="shared" si="13"/>
        <v>0</v>
      </c>
      <c r="F133" s="163">
        <f t="shared" si="16"/>
        <v>9.9999999999999995E-7</v>
      </c>
      <c r="G133" s="160">
        <f t="shared" si="14"/>
        <v>1.1999999999999999E-6</v>
      </c>
      <c r="H133" s="160">
        <f t="shared" si="15"/>
        <v>0</v>
      </c>
      <c r="I133" s="160">
        <f>'JSM Eingabe+TW'!$K$18*3.6*24</f>
        <v>0</v>
      </c>
      <c r="J133" s="159">
        <f t="shared" si="9"/>
        <v>9.9999999999999995E-7</v>
      </c>
      <c r="K133" s="143">
        <f t="shared" si="10"/>
        <v>9.9999999999999995E-7</v>
      </c>
      <c r="L133" s="161" t="str">
        <f t="shared" si="11"/>
        <v xml:space="preserve"> </v>
      </c>
      <c r="M133" s="162">
        <f t="shared" si="12"/>
        <v>9.9999999999999995E-7</v>
      </c>
      <c r="N133" s="162"/>
      <c r="V133" s="143"/>
      <c r="W133" s="142"/>
      <c r="X133" s="142"/>
      <c r="Y133" s="142"/>
      <c r="Z133" s="142"/>
      <c r="AA133" s="142"/>
    </row>
    <row r="134" spans="2:27" s="141" customFormat="1" x14ac:dyDescent="0.2">
      <c r="B134" s="157">
        <v>37336</v>
      </c>
      <c r="C134" s="158">
        <v>80</v>
      </c>
      <c r="D134" s="159">
        <f>'JSM Eingabe+TW'!CY52</f>
        <v>9.9999999999999995E-7</v>
      </c>
      <c r="E134" s="159">
        <f t="shared" si="13"/>
        <v>0</v>
      </c>
      <c r="F134" s="163">
        <f t="shared" si="16"/>
        <v>9.9999999999999995E-7</v>
      </c>
      <c r="G134" s="160">
        <f t="shared" si="14"/>
        <v>1.1999999999999999E-6</v>
      </c>
      <c r="H134" s="160">
        <f t="shared" si="15"/>
        <v>0</v>
      </c>
      <c r="I134" s="160">
        <f>'JSM Eingabe+TW'!$K$18*3.6*24</f>
        <v>0</v>
      </c>
      <c r="J134" s="159">
        <f t="shared" si="9"/>
        <v>9.9999999999999995E-7</v>
      </c>
      <c r="K134" s="143">
        <f t="shared" si="10"/>
        <v>9.9999999999999995E-7</v>
      </c>
      <c r="L134" s="161" t="str">
        <f t="shared" si="11"/>
        <v xml:space="preserve"> </v>
      </c>
      <c r="M134" s="162">
        <f t="shared" si="12"/>
        <v>9.9999999999999995E-7</v>
      </c>
      <c r="N134" s="162"/>
      <c r="V134" s="143"/>
      <c r="W134" s="142"/>
      <c r="X134" s="142"/>
      <c r="Y134" s="142"/>
      <c r="Z134" s="142"/>
      <c r="AA134" s="142"/>
    </row>
    <row r="135" spans="2:27" s="141" customFormat="1" x14ac:dyDescent="0.2">
      <c r="B135" s="157">
        <v>37337</v>
      </c>
      <c r="C135" s="158">
        <v>81</v>
      </c>
      <c r="D135" s="159">
        <f>'JSM Eingabe+TW'!CY53</f>
        <v>9.9999999999999995E-7</v>
      </c>
      <c r="E135" s="159">
        <f t="shared" si="13"/>
        <v>0</v>
      </c>
      <c r="F135" s="163">
        <f t="shared" si="16"/>
        <v>9.9999999999999995E-7</v>
      </c>
      <c r="G135" s="160">
        <f t="shared" si="14"/>
        <v>1.1999999999999999E-6</v>
      </c>
      <c r="H135" s="160">
        <f t="shared" si="15"/>
        <v>0</v>
      </c>
      <c r="I135" s="160">
        <f>'JSM Eingabe+TW'!$K$18*3.6*24</f>
        <v>0</v>
      </c>
      <c r="J135" s="159">
        <f t="shared" si="9"/>
        <v>9.9999999999999995E-7</v>
      </c>
      <c r="K135" s="143">
        <f t="shared" si="10"/>
        <v>9.9999999999999995E-7</v>
      </c>
      <c r="L135" s="161" t="str">
        <f t="shared" si="11"/>
        <v xml:space="preserve"> </v>
      </c>
      <c r="M135" s="162">
        <f t="shared" si="12"/>
        <v>9.9999999999999995E-7</v>
      </c>
      <c r="N135" s="162"/>
      <c r="V135" s="143"/>
      <c r="W135" s="142"/>
      <c r="X135" s="142"/>
      <c r="Y135" s="142"/>
      <c r="Z135" s="142"/>
      <c r="AA135" s="142"/>
    </row>
    <row r="136" spans="2:27" s="141" customFormat="1" x14ac:dyDescent="0.2">
      <c r="B136" s="157">
        <v>37338</v>
      </c>
      <c r="C136" s="158">
        <v>82</v>
      </c>
      <c r="D136" s="159">
        <f>'JSM Eingabe+TW'!CY54</f>
        <v>9.9999999999999995E-7</v>
      </c>
      <c r="E136" s="159">
        <f t="shared" si="13"/>
        <v>0</v>
      </c>
      <c r="F136" s="163">
        <f t="shared" si="16"/>
        <v>9.9999999999999995E-7</v>
      </c>
      <c r="G136" s="160">
        <f t="shared" si="14"/>
        <v>1.1999999999999999E-6</v>
      </c>
      <c r="H136" s="160">
        <f t="shared" si="15"/>
        <v>0</v>
      </c>
      <c r="I136" s="160">
        <f>'JSM Eingabe+TW'!$K$18*3.6*24</f>
        <v>0</v>
      </c>
      <c r="J136" s="159">
        <f t="shared" si="9"/>
        <v>9.9999999999999995E-7</v>
      </c>
      <c r="K136" s="143">
        <f t="shared" si="10"/>
        <v>9.9999999999999995E-7</v>
      </c>
      <c r="L136" s="161" t="str">
        <f t="shared" si="11"/>
        <v xml:space="preserve"> </v>
      </c>
      <c r="M136" s="162">
        <f t="shared" si="12"/>
        <v>9.9999999999999995E-7</v>
      </c>
      <c r="N136" s="162"/>
      <c r="V136" s="143"/>
      <c r="W136" s="142"/>
      <c r="X136" s="142"/>
      <c r="Y136" s="142"/>
      <c r="Z136" s="142"/>
      <c r="AA136" s="142"/>
    </row>
    <row r="137" spans="2:27" s="141" customFormat="1" x14ac:dyDescent="0.2">
      <c r="B137" s="157">
        <v>37339</v>
      </c>
      <c r="C137" s="158">
        <v>83</v>
      </c>
      <c r="D137" s="159">
        <f>'JSM Eingabe+TW'!CY55</f>
        <v>9.9999999999999995E-7</v>
      </c>
      <c r="E137" s="159">
        <f t="shared" si="13"/>
        <v>0</v>
      </c>
      <c r="F137" s="163">
        <f t="shared" si="16"/>
        <v>9.9999999999999995E-7</v>
      </c>
      <c r="G137" s="160">
        <f t="shared" si="14"/>
        <v>1.1999999999999999E-6</v>
      </c>
      <c r="H137" s="160">
        <f t="shared" si="15"/>
        <v>0</v>
      </c>
      <c r="I137" s="160">
        <f>'JSM Eingabe+TW'!$K$18*3.6*24</f>
        <v>0</v>
      </c>
      <c r="J137" s="159">
        <f t="shared" si="9"/>
        <v>9.9999999999999995E-7</v>
      </c>
      <c r="K137" s="143">
        <f t="shared" si="10"/>
        <v>9.9999999999999995E-7</v>
      </c>
      <c r="L137" s="161" t="str">
        <f t="shared" si="11"/>
        <v xml:space="preserve"> </v>
      </c>
      <c r="M137" s="162">
        <f t="shared" si="12"/>
        <v>9.9999999999999995E-7</v>
      </c>
      <c r="N137" s="162"/>
      <c r="V137" s="143"/>
      <c r="W137" s="142"/>
      <c r="X137" s="142"/>
      <c r="Y137" s="142"/>
      <c r="Z137" s="142"/>
      <c r="AA137" s="142"/>
    </row>
    <row r="138" spans="2:27" s="141" customFormat="1" x14ac:dyDescent="0.2">
      <c r="B138" s="157">
        <v>37340</v>
      </c>
      <c r="C138" s="158">
        <v>84</v>
      </c>
      <c r="D138" s="159">
        <f>'JSM Eingabe+TW'!CY56</f>
        <v>9.9999999999999995E-7</v>
      </c>
      <c r="E138" s="159">
        <f t="shared" si="13"/>
        <v>0</v>
      </c>
      <c r="F138" s="163">
        <f t="shared" si="16"/>
        <v>9.9999999999999995E-7</v>
      </c>
      <c r="G138" s="160">
        <f t="shared" si="14"/>
        <v>1.1999999999999999E-6</v>
      </c>
      <c r="H138" s="160">
        <f t="shared" si="15"/>
        <v>0</v>
      </c>
      <c r="I138" s="160">
        <f>'JSM Eingabe+TW'!$K$18*3.6*24</f>
        <v>0</v>
      </c>
      <c r="J138" s="159">
        <f t="shared" si="9"/>
        <v>9.9999999999999995E-7</v>
      </c>
      <c r="K138" s="143">
        <f t="shared" si="10"/>
        <v>9.9999999999999995E-7</v>
      </c>
      <c r="L138" s="161" t="str">
        <f t="shared" si="11"/>
        <v xml:space="preserve"> </v>
      </c>
      <c r="M138" s="162">
        <f t="shared" si="12"/>
        <v>9.9999999999999995E-7</v>
      </c>
      <c r="N138" s="162"/>
      <c r="V138" s="143"/>
      <c r="W138" s="142"/>
      <c r="X138" s="142"/>
      <c r="Y138" s="142"/>
      <c r="Z138" s="142"/>
      <c r="AA138" s="142"/>
    </row>
    <row r="139" spans="2:27" s="141" customFormat="1" x14ac:dyDescent="0.2">
      <c r="B139" s="157">
        <v>37341</v>
      </c>
      <c r="C139" s="158">
        <v>85</v>
      </c>
      <c r="D139" s="159">
        <f>'JSM Eingabe+TW'!CY57</f>
        <v>9.9999999999999995E-7</v>
      </c>
      <c r="E139" s="159">
        <f t="shared" si="13"/>
        <v>0</v>
      </c>
      <c r="F139" s="163">
        <f t="shared" si="16"/>
        <v>9.9999999999999995E-7</v>
      </c>
      <c r="G139" s="160">
        <f t="shared" si="14"/>
        <v>1.1999999999999999E-6</v>
      </c>
      <c r="H139" s="160">
        <f t="shared" si="15"/>
        <v>0</v>
      </c>
      <c r="I139" s="160">
        <f>'JSM Eingabe+TW'!$K$18*3.6*24</f>
        <v>0</v>
      </c>
      <c r="J139" s="159">
        <f t="shared" si="9"/>
        <v>9.9999999999999995E-7</v>
      </c>
      <c r="K139" s="143">
        <f t="shared" si="10"/>
        <v>9.9999999999999995E-7</v>
      </c>
      <c r="L139" s="161" t="str">
        <f t="shared" si="11"/>
        <v xml:space="preserve"> </v>
      </c>
      <c r="M139" s="162">
        <f t="shared" si="12"/>
        <v>9.9999999999999995E-7</v>
      </c>
      <c r="N139" s="162"/>
      <c r="V139" s="143"/>
      <c r="W139" s="142"/>
      <c r="X139" s="142"/>
      <c r="Y139" s="142"/>
      <c r="Z139" s="142"/>
      <c r="AA139" s="142"/>
    </row>
    <row r="140" spans="2:27" s="141" customFormat="1" x14ac:dyDescent="0.2">
      <c r="B140" s="157">
        <v>37342</v>
      </c>
      <c r="C140" s="158">
        <v>86</v>
      </c>
      <c r="D140" s="159">
        <f>'JSM Eingabe+TW'!CY58</f>
        <v>9.9999999999999995E-7</v>
      </c>
      <c r="E140" s="159">
        <f t="shared" si="13"/>
        <v>0</v>
      </c>
      <c r="F140" s="163">
        <f t="shared" si="16"/>
        <v>9.9999999999999995E-7</v>
      </c>
      <c r="G140" s="160">
        <f t="shared" si="14"/>
        <v>1.1999999999999999E-6</v>
      </c>
      <c r="H140" s="160">
        <f t="shared" si="15"/>
        <v>0</v>
      </c>
      <c r="I140" s="160">
        <f>'JSM Eingabe+TW'!$K$18*3.6*24</f>
        <v>0</v>
      </c>
      <c r="J140" s="159">
        <f t="shared" si="9"/>
        <v>9.9999999999999995E-7</v>
      </c>
      <c r="K140" s="143">
        <f t="shared" si="10"/>
        <v>9.9999999999999995E-7</v>
      </c>
      <c r="L140" s="161" t="str">
        <f t="shared" si="11"/>
        <v xml:space="preserve"> </v>
      </c>
      <c r="M140" s="162">
        <f t="shared" si="12"/>
        <v>9.9999999999999995E-7</v>
      </c>
      <c r="N140" s="162"/>
      <c r="V140" s="143"/>
      <c r="W140" s="142"/>
      <c r="X140" s="142"/>
      <c r="Y140" s="142"/>
      <c r="Z140" s="142"/>
      <c r="AA140" s="142"/>
    </row>
    <row r="141" spans="2:27" s="141" customFormat="1" x14ac:dyDescent="0.2">
      <c r="B141" s="157">
        <v>37343</v>
      </c>
      <c r="C141" s="158">
        <v>87</v>
      </c>
      <c r="D141" s="159">
        <f>'JSM Eingabe+TW'!CY59</f>
        <v>9.9999999999999995E-7</v>
      </c>
      <c r="E141" s="159">
        <f t="shared" si="13"/>
        <v>0</v>
      </c>
      <c r="F141" s="163">
        <f t="shared" si="16"/>
        <v>9.9999999999999995E-7</v>
      </c>
      <c r="G141" s="160">
        <f t="shared" si="14"/>
        <v>1.1999999999999999E-6</v>
      </c>
      <c r="H141" s="160">
        <f t="shared" si="15"/>
        <v>0</v>
      </c>
      <c r="I141" s="160">
        <f>'JSM Eingabe+TW'!$K$18*3.6*24</f>
        <v>0</v>
      </c>
      <c r="J141" s="159">
        <f t="shared" si="9"/>
        <v>9.9999999999999995E-7</v>
      </c>
      <c r="K141" s="143">
        <f t="shared" si="10"/>
        <v>9.9999999999999995E-7</v>
      </c>
      <c r="L141" s="161" t="str">
        <f t="shared" si="11"/>
        <v xml:space="preserve"> </v>
      </c>
      <c r="M141" s="162">
        <f t="shared" si="12"/>
        <v>9.9999999999999995E-7</v>
      </c>
      <c r="N141" s="162"/>
      <c r="V141" s="143"/>
      <c r="W141" s="142"/>
      <c r="X141" s="142"/>
      <c r="Y141" s="142"/>
      <c r="Z141" s="142"/>
      <c r="AA141" s="142"/>
    </row>
    <row r="142" spans="2:27" s="141" customFormat="1" x14ac:dyDescent="0.2">
      <c r="B142" s="157">
        <v>37344</v>
      </c>
      <c r="C142" s="158">
        <v>88</v>
      </c>
      <c r="D142" s="159">
        <f>'JSM Eingabe+TW'!CY60</f>
        <v>9.9999999999999995E-7</v>
      </c>
      <c r="E142" s="159">
        <f t="shared" si="13"/>
        <v>0</v>
      </c>
      <c r="F142" s="163">
        <f t="shared" si="16"/>
        <v>9.9999999999999995E-7</v>
      </c>
      <c r="G142" s="160">
        <f t="shared" si="14"/>
        <v>1.1999999999999999E-6</v>
      </c>
      <c r="H142" s="160">
        <f t="shared" si="15"/>
        <v>0</v>
      </c>
      <c r="I142" s="160">
        <f>'JSM Eingabe+TW'!$K$18*3.6*24</f>
        <v>0</v>
      </c>
      <c r="J142" s="159">
        <f t="shared" si="9"/>
        <v>9.9999999999999995E-7</v>
      </c>
      <c r="K142" s="143">
        <f t="shared" si="10"/>
        <v>9.9999999999999995E-7</v>
      </c>
      <c r="L142" s="161" t="str">
        <f t="shared" si="11"/>
        <v xml:space="preserve"> </v>
      </c>
      <c r="M142" s="162">
        <f t="shared" si="12"/>
        <v>9.9999999999999995E-7</v>
      </c>
      <c r="N142" s="162"/>
      <c r="V142" s="143"/>
      <c r="W142" s="142"/>
      <c r="X142" s="142"/>
      <c r="Y142" s="142"/>
      <c r="Z142" s="142"/>
      <c r="AA142" s="142"/>
    </row>
    <row r="143" spans="2:27" s="141" customFormat="1" x14ac:dyDescent="0.2">
      <c r="B143" s="157">
        <v>37345</v>
      </c>
      <c r="C143" s="158">
        <v>89</v>
      </c>
      <c r="D143" s="159">
        <f>'JSM Eingabe+TW'!CY61</f>
        <v>9.9999999999999995E-7</v>
      </c>
      <c r="E143" s="159">
        <f t="shared" si="13"/>
        <v>0</v>
      </c>
      <c r="F143" s="163">
        <f t="shared" si="16"/>
        <v>9.9999999999999995E-7</v>
      </c>
      <c r="G143" s="160">
        <f t="shared" si="14"/>
        <v>1.1999999999999999E-6</v>
      </c>
      <c r="H143" s="160">
        <f t="shared" si="15"/>
        <v>0</v>
      </c>
      <c r="I143" s="160">
        <f>'JSM Eingabe+TW'!$K$18*3.6*24</f>
        <v>0</v>
      </c>
      <c r="J143" s="159">
        <f t="shared" si="9"/>
        <v>9.9999999999999995E-7</v>
      </c>
      <c r="K143" s="143">
        <f t="shared" si="10"/>
        <v>9.9999999999999995E-7</v>
      </c>
      <c r="L143" s="161" t="str">
        <f t="shared" si="11"/>
        <v xml:space="preserve"> </v>
      </c>
      <c r="M143" s="162">
        <f t="shared" si="12"/>
        <v>9.9999999999999995E-7</v>
      </c>
      <c r="N143" s="162"/>
      <c r="V143" s="143"/>
      <c r="W143" s="142"/>
      <c r="X143" s="142"/>
      <c r="Y143" s="142"/>
      <c r="Z143" s="142"/>
      <c r="AA143" s="142"/>
    </row>
    <row r="144" spans="2:27" s="141" customFormat="1" x14ac:dyDescent="0.2">
      <c r="B144" s="157">
        <v>37346</v>
      </c>
      <c r="C144" s="158">
        <v>90</v>
      </c>
      <c r="D144" s="159">
        <f>'JSM Eingabe+TW'!CY62</f>
        <v>9.9999999999999995E-7</v>
      </c>
      <c r="E144" s="159">
        <f t="shared" si="13"/>
        <v>0</v>
      </c>
      <c r="F144" s="163">
        <f t="shared" si="16"/>
        <v>9.9999999999999995E-7</v>
      </c>
      <c r="G144" s="160">
        <f t="shared" si="14"/>
        <v>1.1999999999999999E-6</v>
      </c>
      <c r="H144" s="160">
        <f t="shared" si="15"/>
        <v>0</v>
      </c>
      <c r="I144" s="160">
        <f>'JSM Eingabe+TW'!$K$18*3.6*24</f>
        <v>0</v>
      </c>
      <c r="J144" s="159">
        <f t="shared" si="9"/>
        <v>9.9999999999999995E-7</v>
      </c>
      <c r="K144" s="143">
        <f t="shared" si="10"/>
        <v>9.9999999999999995E-7</v>
      </c>
      <c r="L144" s="161" t="str">
        <f t="shared" si="11"/>
        <v xml:space="preserve"> </v>
      </c>
      <c r="M144" s="162">
        <f t="shared" si="12"/>
        <v>9.9999999999999995E-7</v>
      </c>
      <c r="N144" s="162"/>
      <c r="V144" s="143"/>
      <c r="W144" s="142"/>
      <c r="X144" s="142"/>
      <c r="Y144" s="142"/>
      <c r="Z144" s="142"/>
      <c r="AA144" s="142"/>
    </row>
    <row r="145" spans="2:27" s="141" customFormat="1" x14ac:dyDescent="0.2">
      <c r="B145" s="157">
        <v>37347</v>
      </c>
      <c r="C145" s="158">
        <v>91</v>
      </c>
      <c r="D145" s="159">
        <f>'JSM Eingabe+TW'!CZ32</f>
        <v>9.9999999999999995E-7</v>
      </c>
      <c r="E145" s="159">
        <f t="shared" si="13"/>
        <v>0</v>
      </c>
      <c r="F145" s="163">
        <f t="shared" si="16"/>
        <v>9.9999999999999995E-7</v>
      </c>
      <c r="G145" s="160">
        <f t="shared" si="14"/>
        <v>1.1999999999999999E-6</v>
      </c>
      <c r="H145" s="160">
        <f t="shared" si="15"/>
        <v>0</v>
      </c>
      <c r="I145" s="160">
        <f>'JSM Eingabe+TW'!$K$18*3.6*24</f>
        <v>0</v>
      </c>
      <c r="J145" s="159">
        <f t="shared" si="9"/>
        <v>9.9999999999999995E-7</v>
      </c>
      <c r="K145" s="143">
        <f t="shared" si="10"/>
        <v>9.9999999999999995E-7</v>
      </c>
      <c r="L145" s="161" t="str">
        <f t="shared" si="11"/>
        <v xml:space="preserve"> </v>
      </c>
      <c r="M145" s="162">
        <f t="shared" si="12"/>
        <v>9.9999999999999995E-7</v>
      </c>
      <c r="N145" s="162"/>
      <c r="V145" s="143"/>
      <c r="W145" s="142"/>
      <c r="X145" s="142"/>
      <c r="Y145" s="142"/>
      <c r="Z145" s="142"/>
      <c r="AA145" s="142"/>
    </row>
    <row r="146" spans="2:27" s="141" customFormat="1" x14ac:dyDescent="0.2">
      <c r="B146" s="157">
        <v>37348</v>
      </c>
      <c r="C146" s="158">
        <v>92</v>
      </c>
      <c r="D146" s="159">
        <f>'JSM Eingabe+TW'!CZ33</f>
        <v>9.9999999999999995E-7</v>
      </c>
      <c r="E146" s="159">
        <f t="shared" si="13"/>
        <v>0</v>
      </c>
      <c r="F146" s="163">
        <f t="shared" si="16"/>
        <v>9.9999999999999995E-7</v>
      </c>
      <c r="G146" s="160">
        <f t="shared" si="14"/>
        <v>1.1999999999999999E-6</v>
      </c>
      <c r="H146" s="160">
        <f t="shared" si="15"/>
        <v>0</v>
      </c>
      <c r="I146" s="160">
        <f>'JSM Eingabe+TW'!$K$18*3.6*24</f>
        <v>0</v>
      </c>
      <c r="J146" s="159">
        <f t="shared" si="9"/>
        <v>9.9999999999999995E-7</v>
      </c>
      <c r="K146" s="143">
        <f t="shared" si="10"/>
        <v>9.9999999999999995E-7</v>
      </c>
      <c r="L146" s="161" t="str">
        <f t="shared" si="11"/>
        <v xml:space="preserve"> </v>
      </c>
      <c r="M146" s="162">
        <f t="shared" si="12"/>
        <v>9.9999999999999995E-7</v>
      </c>
      <c r="N146" s="162"/>
      <c r="V146" s="143"/>
      <c r="W146" s="142"/>
      <c r="X146" s="142"/>
      <c r="Y146" s="142"/>
      <c r="Z146" s="142"/>
      <c r="AA146" s="142"/>
    </row>
    <row r="147" spans="2:27" s="141" customFormat="1" x14ac:dyDescent="0.2">
      <c r="B147" s="157">
        <v>37349</v>
      </c>
      <c r="C147" s="158">
        <v>93</v>
      </c>
      <c r="D147" s="159">
        <f>'JSM Eingabe+TW'!CZ34</f>
        <v>9.9999999999999995E-7</v>
      </c>
      <c r="E147" s="159">
        <f t="shared" si="13"/>
        <v>0</v>
      </c>
      <c r="F147" s="163">
        <f t="shared" si="16"/>
        <v>9.9999999999999995E-7</v>
      </c>
      <c r="G147" s="160">
        <f t="shared" si="14"/>
        <v>1.1999999999999999E-6</v>
      </c>
      <c r="H147" s="160">
        <f t="shared" si="15"/>
        <v>0</v>
      </c>
      <c r="I147" s="160">
        <f>'JSM Eingabe+TW'!$K$18*3.6*24</f>
        <v>0</v>
      </c>
      <c r="J147" s="159">
        <f t="shared" si="9"/>
        <v>9.9999999999999995E-7</v>
      </c>
      <c r="K147" s="143">
        <f t="shared" si="10"/>
        <v>9.9999999999999995E-7</v>
      </c>
      <c r="L147" s="161" t="str">
        <f t="shared" si="11"/>
        <v xml:space="preserve"> </v>
      </c>
      <c r="M147" s="162">
        <f t="shared" si="12"/>
        <v>9.9999999999999995E-7</v>
      </c>
      <c r="N147" s="162"/>
      <c r="V147" s="143"/>
      <c r="W147" s="142"/>
      <c r="X147" s="142"/>
      <c r="Y147" s="142"/>
      <c r="Z147" s="142"/>
      <c r="AA147" s="142"/>
    </row>
    <row r="148" spans="2:27" s="141" customFormat="1" x14ac:dyDescent="0.2">
      <c r="B148" s="157">
        <v>37350</v>
      </c>
      <c r="C148" s="158">
        <v>94</v>
      </c>
      <c r="D148" s="159">
        <f>'JSM Eingabe+TW'!CZ35</f>
        <v>9.9999999999999995E-7</v>
      </c>
      <c r="E148" s="159">
        <f t="shared" si="13"/>
        <v>0</v>
      </c>
      <c r="F148" s="163">
        <f t="shared" si="16"/>
        <v>9.9999999999999995E-7</v>
      </c>
      <c r="G148" s="160">
        <f t="shared" si="14"/>
        <v>1.1999999999999999E-6</v>
      </c>
      <c r="H148" s="160">
        <f t="shared" si="15"/>
        <v>0</v>
      </c>
      <c r="I148" s="160">
        <f>'JSM Eingabe+TW'!$K$18*3.6*24</f>
        <v>0</v>
      </c>
      <c r="J148" s="159">
        <f t="shared" si="9"/>
        <v>9.9999999999999995E-7</v>
      </c>
      <c r="K148" s="143">
        <f t="shared" si="10"/>
        <v>9.9999999999999995E-7</v>
      </c>
      <c r="L148" s="161" t="str">
        <f t="shared" si="11"/>
        <v xml:space="preserve"> </v>
      </c>
      <c r="M148" s="162">
        <f t="shared" si="12"/>
        <v>9.9999999999999995E-7</v>
      </c>
      <c r="N148" s="162"/>
      <c r="V148" s="143"/>
      <c r="W148" s="142"/>
      <c r="X148" s="142"/>
      <c r="Y148" s="142"/>
      <c r="Z148" s="142"/>
      <c r="AA148" s="142"/>
    </row>
    <row r="149" spans="2:27" s="141" customFormat="1" x14ac:dyDescent="0.2">
      <c r="B149" s="157">
        <v>37351</v>
      </c>
      <c r="C149" s="158">
        <v>95</v>
      </c>
      <c r="D149" s="159">
        <f>'JSM Eingabe+TW'!CZ36</f>
        <v>9.9999999999999995E-7</v>
      </c>
      <c r="E149" s="159">
        <f t="shared" si="13"/>
        <v>0</v>
      </c>
      <c r="F149" s="163">
        <f t="shared" si="16"/>
        <v>9.9999999999999995E-7</v>
      </c>
      <c r="G149" s="160">
        <f t="shared" si="14"/>
        <v>1.1999999999999999E-6</v>
      </c>
      <c r="H149" s="160">
        <f t="shared" si="15"/>
        <v>0</v>
      </c>
      <c r="I149" s="160">
        <f>'JSM Eingabe+TW'!$K$18*3.6*24</f>
        <v>0</v>
      </c>
      <c r="J149" s="159">
        <f t="shared" si="9"/>
        <v>9.9999999999999995E-7</v>
      </c>
      <c r="K149" s="143">
        <f t="shared" si="10"/>
        <v>9.9999999999999995E-7</v>
      </c>
      <c r="L149" s="161" t="str">
        <f t="shared" si="11"/>
        <v xml:space="preserve"> </v>
      </c>
      <c r="M149" s="162">
        <f t="shared" si="12"/>
        <v>9.9999999999999995E-7</v>
      </c>
      <c r="N149" s="162"/>
      <c r="V149" s="143"/>
      <c r="W149" s="142"/>
      <c r="X149" s="142"/>
      <c r="Y149" s="142"/>
      <c r="Z149" s="142"/>
      <c r="AA149" s="142"/>
    </row>
    <row r="150" spans="2:27" s="141" customFormat="1" x14ac:dyDescent="0.2">
      <c r="B150" s="157">
        <v>37352</v>
      </c>
      <c r="C150" s="158">
        <v>96</v>
      </c>
      <c r="D150" s="159">
        <f>'JSM Eingabe+TW'!CZ37</f>
        <v>9.9999999999999995E-7</v>
      </c>
      <c r="E150" s="159">
        <f t="shared" si="13"/>
        <v>0</v>
      </c>
      <c r="F150" s="163">
        <f t="shared" si="16"/>
        <v>9.9999999999999995E-7</v>
      </c>
      <c r="G150" s="160">
        <f t="shared" si="14"/>
        <v>1.1999999999999999E-6</v>
      </c>
      <c r="H150" s="160">
        <f t="shared" si="15"/>
        <v>0</v>
      </c>
      <c r="I150" s="160">
        <f>'JSM Eingabe+TW'!$K$18*3.6*24</f>
        <v>0</v>
      </c>
      <c r="J150" s="159">
        <f t="shared" si="9"/>
        <v>9.9999999999999995E-7</v>
      </c>
      <c r="K150" s="143">
        <f t="shared" si="10"/>
        <v>9.9999999999999995E-7</v>
      </c>
      <c r="L150" s="161" t="str">
        <f t="shared" si="11"/>
        <v xml:space="preserve"> </v>
      </c>
      <c r="M150" s="162">
        <f t="shared" si="12"/>
        <v>9.9999999999999995E-7</v>
      </c>
      <c r="N150" s="162"/>
      <c r="V150" s="143"/>
      <c r="W150" s="142"/>
      <c r="X150" s="142"/>
      <c r="Y150" s="142"/>
      <c r="Z150" s="142"/>
      <c r="AA150" s="142"/>
    </row>
    <row r="151" spans="2:27" s="141" customFormat="1" x14ac:dyDescent="0.2">
      <c r="B151" s="157">
        <v>37353</v>
      </c>
      <c r="C151" s="158">
        <v>97</v>
      </c>
      <c r="D151" s="159">
        <f>'JSM Eingabe+TW'!CZ38</f>
        <v>9.9999999999999995E-7</v>
      </c>
      <c r="E151" s="159">
        <f t="shared" si="13"/>
        <v>0</v>
      </c>
      <c r="F151" s="163">
        <f t="shared" si="16"/>
        <v>9.9999999999999995E-7</v>
      </c>
      <c r="G151" s="160">
        <f t="shared" si="14"/>
        <v>1.1999999999999999E-6</v>
      </c>
      <c r="H151" s="160">
        <f t="shared" si="15"/>
        <v>0</v>
      </c>
      <c r="I151" s="160">
        <f>'JSM Eingabe+TW'!$K$18*3.6*24</f>
        <v>0</v>
      </c>
      <c r="J151" s="159">
        <f t="shared" si="9"/>
        <v>9.9999999999999995E-7</v>
      </c>
      <c r="K151" s="143">
        <f t="shared" si="10"/>
        <v>9.9999999999999995E-7</v>
      </c>
      <c r="L151" s="161" t="str">
        <f t="shared" si="11"/>
        <v xml:space="preserve"> </v>
      </c>
      <c r="M151" s="162">
        <f t="shared" si="12"/>
        <v>9.9999999999999995E-7</v>
      </c>
      <c r="N151" s="162"/>
      <c r="V151" s="143"/>
      <c r="W151" s="142"/>
      <c r="X151" s="142"/>
      <c r="Y151" s="142"/>
      <c r="Z151" s="142"/>
      <c r="AA151" s="142"/>
    </row>
    <row r="152" spans="2:27" s="141" customFormat="1" x14ac:dyDescent="0.2">
      <c r="B152" s="157">
        <v>37354</v>
      </c>
      <c r="C152" s="158">
        <v>98</v>
      </c>
      <c r="D152" s="159">
        <f>'JSM Eingabe+TW'!CZ39</f>
        <v>9.9999999999999995E-7</v>
      </c>
      <c r="E152" s="159">
        <f t="shared" si="13"/>
        <v>0</v>
      </c>
      <c r="F152" s="163">
        <f t="shared" si="16"/>
        <v>9.9999999999999995E-7</v>
      </c>
      <c r="G152" s="160">
        <f t="shared" si="14"/>
        <v>1.1999999999999999E-6</v>
      </c>
      <c r="H152" s="160">
        <f t="shared" si="15"/>
        <v>0</v>
      </c>
      <c r="I152" s="160">
        <f>'JSM Eingabe+TW'!$K$18*3.6*24</f>
        <v>0</v>
      </c>
      <c r="J152" s="159">
        <f t="shared" si="9"/>
        <v>9.9999999999999995E-7</v>
      </c>
      <c r="K152" s="143">
        <f t="shared" si="10"/>
        <v>9.9999999999999995E-7</v>
      </c>
      <c r="L152" s="161" t="str">
        <f t="shared" si="11"/>
        <v xml:space="preserve"> </v>
      </c>
      <c r="M152" s="162">
        <f t="shared" si="12"/>
        <v>9.9999999999999995E-7</v>
      </c>
      <c r="N152" s="162"/>
      <c r="V152" s="143"/>
      <c r="W152" s="142"/>
      <c r="X152" s="142"/>
      <c r="Y152" s="142"/>
      <c r="Z152" s="142"/>
      <c r="AA152" s="142"/>
    </row>
    <row r="153" spans="2:27" s="141" customFormat="1" x14ac:dyDescent="0.2">
      <c r="B153" s="157">
        <v>37355</v>
      </c>
      <c r="C153" s="158">
        <v>99</v>
      </c>
      <c r="D153" s="159">
        <f>'JSM Eingabe+TW'!CZ40</f>
        <v>9.9999999999999995E-7</v>
      </c>
      <c r="E153" s="159">
        <f t="shared" si="13"/>
        <v>0</v>
      </c>
      <c r="F153" s="163">
        <f t="shared" si="16"/>
        <v>9.9999999999999995E-7</v>
      </c>
      <c r="G153" s="160">
        <f t="shared" si="14"/>
        <v>1.1999999999999999E-6</v>
      </c>
      <c r="H153" s="160">
        <f t="shared" si="15"/>
        <v>0</v>
      </c>
      <c r="I153" s="160">
        <f>'JSM Eingabe+TW'!$K$18*3.6*24</f>
        <v>0</v>
      </c>
      <c r="J153" s="159">
        <f t="shared" si="9"/>
        <v>9.9999999999999995E-7</v>
      </c>
      <c r="K153" s="143">
        <f t="shared" si="10"/>
        <v>9.9999999999999995E-7</v>
      </c>
      <c r="L153" s="161" t="str">
        <f t="shared" si="11"/>
        <v xml:space="preserve"> </v>
      </c>
      <c r="M153" s="162">
        <f t="shared" si="12"/>
        <v>9.9999999999999995E-7</v>
      </c>
      <c r="N153" s="162"/>
      <c r="V153" s="143"/>
      <c r="W153" s="142"/>
      <c r="X153" s="142"/>
      <c r="Y153" s="142"/>
      <c r="Z153" s="142"/>
      <c r="AA153" s="142"/>
    </row>
    <row r="154" spans="2:27" s="141" customFormat="1" x14ac:dyDescent="0.2">
      <c r="B154" s="157">
        <v>37356</v>
      </c>
      <c r="C154" s="158">
        <v>100</v>
      </c>
      <c r="D154" s="159">
        <f>'JSM Eingabe+TW'!CZ41</f>
        <v>9.9999999999999995E-7</v>
      </c>
      <c r="E154" s="159">
        <f t="shared" si="13"/>
        <v>0</v>
      </c>
      <c r="F154" s="163">
        <f t="shared" si="16"/>
        <v>9.9999999999999995E-7</v>
      </c>
      <c r="G154" s="160">
        <f t="shared" si="14"/>
        <v>1.1999999999999999E-6</v>
      </c>
      <c r="H154" s="160">
        <f t="shared" si="15"/>
        <v>0</v>
      </c>
      <c r="I154" s="160">
        <f>'JSM Eingabe+TW'!$K$18*3.6*24</f>
        <v>0</v>
      </c>
      <c r="J154" s="159">
        <f t="shared" si="9"/>
        <v>9.9999999999999995E-7</v>
      </c>
      <c r="K154" s="143">
        <f t="shared" si="10"/>
        <v>9.9999999999999995E-7</v>
      </c>
      <c r="L154" s="161" t="str">
        <f t="shared" si="11"/>
        <v xml:space="preserve"> </v>
      </c>
      <c r="M154" s="162">
        <f t="shared" si="12"/>
        <v>9.9999999999999995E-7</v>
      </c>
      <c r="N154" s="162"/>
      <c r="V154" s="143"/>
      <c r="W154" s="142"/>
      <c r="X154" s="142"/>
      <c r="Y154" s="142"/>
      <c r="Z154" s="142"/>
      <c r="AA154" s="142"/>
    </row>
    <row r="155" spans="2:27" s="141" customFormat="1" x14ac:dyDescent="0.2">
      <c r="B155" s="157">
        <v>37357</v>
      </c>
      <c r="C155" s="158">
        <v>101</v>
      </c>
      <c r="D155" s="159">
        <f>'JSM Eingabe+TW'!CZ42</f>
        <v>9.9999999999999995E-7</v>
      </c>
      <c r="E155" s="159">
        <f t="shared" si="13"/>
        <v>0</v>
      </c>
      <c r="F155" s="163">
        <f t="shared" si="16"/>
        <v>9.9999999999999995E-7</v>
      </c>
      <c r="G155" s="160">
        <f t="shared" si="14"/>
        <v>1.1999999999999999E-6</v>
      </c>
      <c r="H155" s="160">
        <f t="shared" si="15"/>
        <v>0</v>
      </c>
      <c r="I155" s="160">
        <f>'JSM Eingabe+TW'!$K$18*3.6*24</f>
        <v>0</v>
      </c>
      <c r="J155" s="159">
        <f t="shared" si="9"/>
        <v>9.9999999999999995E-7</v>
      </c>
      <c r="K155" s="143">
        <f t="shared" si="10"/>
        <v>9.9999999999999995E-7</v>
      </c>
      <c r="L155" s="161" t="str">
        <f t="shared" si="11"/>
        <v xml:space="preserve"> </v>
      </c>
      <c r="M155" s="162">
        <f t="shared" si="12"/>
        <v>9.9999999999999995E-7</v>
      </c>
      <c r="N155" s="162"/>
      <c r="V155" s="143"/>
      <c r="W155" s="142"/>
      <c r="X155" s="142"/>
      <c r="Y155" s="142"/>
      <c r="Z155" s="142"/>
      <c r="AA155" s="142"/>
    </row>
    <row r="156" spans="2:27" s="141" customFormat="1" x14ac:dyDescent="0.2">
      <c r="B156" s="157">
        <v>37358</v>
      </c>
      <c r="C156" s="158">
        <v>102</v>
      </c>
      <c r="D156" s="159">
        <f>'JSM Eingabe+TW'!CZ43</f>
        <v>9.9999999999999995E-7</v>
      </c>
      <c r="E156" s="159">
        <f t="shared" si="13"/>
        <v>0</v>
      </c>
      <c r="F156" s="163">
        <f t="shared" si="16"/>
        <v>9.9999999999999995E-7</v>
      </c>
      <c r="G156" s="160">
        <f t="shared" si="14"/>
        <v>1.1999999999999999E-6</v>
      </c>
      <c r="H156" s="160">
        <f t="shared" si="15"/>
        <v>0</v>
      </c>
      <c r="I156" s="160">
        <f>'JSM Eingabe+TW'!$K$18*3.6*24</f>
        <v>0</v>
      </c>
      <c r="J156" s="159">
        <f t="shared" si="9"/>
        <v>9.9999999999999995E-7</v>
      </c>
      <c r="K156" s="143">
        <f t="shared" si="10"/>
        <v>9.9999999999999995E-7</v>
      </c>
      <c r="L156" s="161" t="str">
        <f t="shared" si="11"/>
        <v xml:space="preserve"> </v>
      </c>
      <c r="M156" s="162">
        <f t="shared" si="12"/>
        <v>9.9999999999999995E-7</v>
      </c>
      <c r="N156" s="162"/>
      <c r="V156" s="143"/>
      <c r="W156" s="142"/>
      <c r="X156" s="142"/>
      <c r="Y156" s="142"/>
      <c r="Z156" s="142"/>
      <c r="AA156" s="142"/>
    </row>
    <row r="157" spans="2:27" s="141" customFormat="1" x14ac:dyDescent="0.2">
      <c r="B157" s="157">
        <v>37359</v>
      </c>
      <c r="C157" s="158">
        <v>103</v>
      </c>
      <c r="D157" s="159">
        <f>'JSM Eingabe+TW'!CZ44</f>
        <v>9.9999999999999995E-7</v>
      </c>
      <c r="E157" s="159">
        <f t="shared" si="13"/>
        <v>0</v>
      </c>
      <c r="F157" s="163">
        <f t="shared" si="16"/>
        <v>9.9999999999999995E-7</v>
      </c>
      <c r="G157" s="160">
        <f t="shared" si="14"/>
        <v>1.1999999999999999E-6</v>
      </c>
      <c r="H157" s="160">
        <f t="shared" si="15"/>
        <v>0</v>
      </c>
      <c r="I157" s="160">
        <f>'JSM Eingabe+TW'!$K$18*3.6*24</f>
        <v>0</v>
      </c>
      <c r="J157" s="159">
        <f t="shared" si="9"/>
        <v>9.9999999999999995E-7</v>
      </c>
      <c r="K157" s="143">
        <f t="shared" si="10"/>
        <v>9.9999999999999995E-7</v>
      </c>
      <c r="L157" s="161" t="str">
        <f t="shared" si="11"/>
        <v xml:space="preserve"> </v>
      </c>
      <c r="M157" s="162">
        <f t="shared" si="12"/>
        <v>9.9999999999999995E-7</v>
      </c>
      <c r="N157" s="162"/>
      <c r="V157" s="143"/>
      <c r="W157" s="142"/>
      <c r="X157" s="142"/>
      <c r="Y157" s="142"/>
      <c r="Z157" s="142"/>
      <c r="AA157" s="142"/>
    </row>
    <row r="158" spans="2:27" s="141" customFormat="1" x14ac:dyDescent="0.2">
      <c r="B158" s="157">
        <v>37360</v>
      </c>
      <c r="C158" s="158">
        <v>104</v>
      </c>
      <c r="D158" s="159">
        <f>'JSM Eingabe+TW'!CZ45</f>
        <v>9.9999999999999995E-7</v>
      </c>
      <c r="E158" s="159">
        <f t="shared" si="13"/>
        <v>0</v>
      </c>
      <c r="F158" s="163">
        <f t="shared" si="16"/>
        <v>9.9999999999999995E-7</v>
      </c>
      <c r="G158" s="160">
        <f t="shared" si="14"/>
        <v>1.1999999999999999E-6</v>
      </c>
      <c r="H158" s="160">
        <f t="shared" si="15"/>
        <v>0</v>
      </c>
      <c r="I158" s="160">
        <f>'JSM Eingabe+TW'!$K$18*3.6*24</f>
        <v>0</v>
      </c>
      <c r="J158" s="159">
        <f t="shared" si="9"/>
        <v>9.9999999999999995E-7</v>
      </c>
      <c r="K158" s="143">
        <f t="shared" si="10"/>
        <v>9.9999999999999995E-7</v>
      </c>
      <c r="L158" s="161" t="str">
        <f t="shared" si="11"/>
        <v xml:space="preserve"> </v>
      </c>
      <c r="M158" s="162">
        <f t="shared" si="12"/>
        <v>9.9999999999999995E-7</v>
      </c>
      <c r="N158" s="162"/>
      <c r="V158" s="143"/>
      <c r="W158" s="142"/>
      <c r="X158" s="142"/>
      <c r="Y158" s="142"/>
      <c r="Z158" s="142"/>
      <c r="AA158" s="142"/>
    </row>
    <row r="159" spans="2:27" s="141" customFormat="1" x14ac:dyDescent="0.2">
      <c r="B159" s="157">
        <v>37361</v>
      </c>
      <c r="C159" s="158">
        <v>105</v>
      </c>
      <c r="D159" s="159">
        <f>'JSM Eingabe+TW'!CZ46</f>
        <v>9.9999999999999995E-7</v>
      </c>
      <c r="E159" s="159">
        <f t="shared" si="13"/>
        <v>0</v>
      </c>
      <c r="F159" s="163">
        <f t="shared" si="16"/>
        <v>9.9999999999999995E-7</v>
      </c>
      <c r="G159" s="160">
        <f t="shared" si="14"/>
        <v>1.1999999999999999E-6</v>
      </c>
      <c r="H159" s="160">
        <f t="shared" si="15"/>
        <v>0</v>
      </c>
      <c r="I159" s="160">
        <f>'JSM Eingabe+TW'!$K$18*3.6*24</f>
        <v>0</v>
      </c>
      <c r="J159" s="159">
        <f t="shared" si="9"/>
        <v>9.9999999999999995E-7</v>
      </c>
      <c r="K159" s="143">
        <f t="shared" si="10"/>
        <v>9.9999999999999995E-7</v>
      </c>
      <c r="L159" s="161" t="str">
        <f t="shared" si="11"/>
        <v xml:space="preserve"> </v>
      </c>
      <c r="M159" s="162">
        <f t="shared" si="12"/>
        <v>9.9999999999999995E-7</v>
      </c>
      <c r="N159" s="162"/>
      <c r="V159" s="143"/>
      <c r="W159" s="142"/>
      <c r="X159" s="142"/>
      <c r="Y159" s="142"/>
      <c r="Z159" s="142"/>
      <c r="AA159" s="142"/>
    </row>
    <row r="160" spans="2:27" s="141" customFormat="1" x14ac:dyDescent="0.2">
      <c r="B160" s="157">
        <v>37362</v>
      </c>
      <c r="C160" s="158">
        <v>106</v>
      </c>
      <c r="D160" s="159">
        <f>'JSM Eingabe+TW'!CZ47</f>
        <v>9.9999999999999995E-7</v>
      </c>
      <c r="E160" s="159">
        <f t="shared" si="13"/>
        <v>0</v>
      </c>
      <c r="F160" s="163">
        <f t="shared" si="16"/>
        <v>9.9999999999999995E-7</v>
      </c>
      <c r="G160" s="160">
        <f t="shared" si="14"/>
        <v>1.1999999999999999E-6</v>
      </c>
      <c r="H160" s="160">
        <f t="shared" si="15"/>
        <v>0</v>
      </c>
      <c r="I160" s="160">
        <f>'JSM Eingabe+TW'!$K$18*3.6*24</f>
        <v>0</v>
      </c>
      <c r="J160" s="159">
        <f t="shared" si="9"/>
        <v>9.9999999999999995E-7</v>
      </c>
      <c r="K160" s="143">
        <f t="shared" si="10"/>
        <v>9.9999999999999995E-7</v>
      </c>
      <c r="L160" s="161" t="str">
        <f t="shared" si="11"/>
        <v xml:space="preserve"> </v>
      </c>
      <c r="M160" s="162">
        <f t="shared" si="12"/>
        <v>9.9999999999999995E-7</v>
      </c>
      <c r="N160" s="162"/>
      <c r="V160" s="143"/>
      <c r="W160" s="142"/>
      <c r="X160" s="142"/>
      <c r="Y160" s="142"/>
      <c r="Z160" s="142"/>
      <c r="AA160" s="142"/>
    </row>
    <row r="161" spans="2:27" s="141" customFormat="1" x14ac:dyDescent="0.2">
      <c r="B161" s="157">
        <v>37363</v>
      </c>
      <c r="C161" s="158">
        <v>107</v>
      </c>
      <c r="D161" s="159">
        <f>'JSM Eingabe+TW'!CZ48</f>
        <v>9.9999999999999995E-7</v>
      </c>
      <c r="E161" s="159">
        <f t="shared" si="13"/>
        <v>0</v>
      </c>
      <c r="F161" s="163">
        <f t="shared" si="16"/>
        <v>9.9999999999999995E-7</v>
      </c>
      <c r="G161" s="160">
        <f t="shared" si="14"/>
        <v>1.1999999999999999E-6</v>
      </c>
      <c r="H161" s="160">
        <f t="shared" si="15"/>
        <v>0</v>
      </c>
      <c r="I161" s="160">
        <f>'JSM Eingabe+TW'!$K$18*3.6*24</f>
        <v>0</v>
      </c>
      <c r="J161" s="159">
        <f t="shared" si="9"/>
        <v>9.9999999999999995E-7</v>
      </c>
      <c r="K161" s="143">
        <f t="shared" si="10"/>
        <v>9.9999999999999995E-7</v>
      </c>
      <c r="L161" s="161" t="str">
        <f t="shared" si="11"/>
        <v xml:space="preserve"> </v>
      </c>
      <c r="M161" s="162">
        <f t="shared" si="12"/>
        <v>9.9999999999999995E-7</v>
      </c>
      <c r="N161" s="162"/>
      <c r="V161" s="143"/>
      <c r="W161" s="142"/>
      <c r="X161" s="142"/>
      <c r="Y161" s="142"/>
      <c r="Z161" s="142"/>
      <c r="AA161" s="142"/>
    </row>
    <row r="162" spans="2:27" s="141" customFormat="1" x14ac:dyDescent="0.2">
      <c r="B162" s="157">
        <v>37364</v>
      </c>
      <c r="C162" s="158">
        <v>108</v>
      </c>
      <c r="D162" s="159">
        <f>'JSM Eingabe+TW'!CZ49</f>
        <v>9.9999999999999995E-7</v>
      </c>
      <c r="E162" s="159">
        <f t="shared" si="13"/>
        <v>0</v>
      </c>
      <c r="F162" s="163">
        <f t="shared" si="16"/>
        <v>9.9999999999999995E-7</v>
      </c>
      <c r="G162" s="160">
        <f t="shared" si="14"/>
        <v>1.1999999999999999E-6</v>
      </c>
      <c r="H162" s="160">
        <f t="shared" si="15"/>
        <v>0</v>
      </c>
      <c r="I162" s="160">
        <f>'JSM Eingabe+TW'!$K$18*3.6*24</f>
        <v>0</v>
      </c>
      <c r="J162" s="159">
        <f t="shared" si="9"/>
        <v>9.9999999999999995E-7</v>
      </c>
      <c r="K162" s="143">
        <f t="shared" si="10"/>
        <v>9.9999999999999995E-7</v>
      </c>
      <c r="L162" s="161" t="str">
        <f t="shared" si="11"/>
        <v xml:space="preserve"> </v>
      </c>
      <c r="M162" s="162">
        <f t="shared" si="12"/>
        <v>9.9999999999999995E-7</v>
      </c>
      <c r="N162" s="162"/>
      <c r="V162" s="143"/>
      <c r="W162" s="142"/>
      <c r="X162" s="142"/>
      <c r="Y162" s="142"/>
      <c r="Z162" s="142"/>
      <c r="AA162" s="142"/>
    </row>
    <row r="163" spans="2:27" s="141" customFormat="1" x14ac:dyDescent="0.2">
      <c r="B163" s="157">
        <v>37365</v>
      </c>
      <c r="C163" s="158">
        <v>109</v>
      </c>
      <c r="D163" s="159">
        <f>'JSM Eingabe+TW'!CZ50</f>
        <v>9.9999999999999995E-7</v>
      </c>
      <c r="E163" s="159">
        <f t="shared" si="13"/>
        <v>0</v>
      </c>
      <c r="F163" s="163">
        <f t="shared" si="16"/>
        <v>9.9999999999999995E-7</v>
      </c>
      <c r="G163" s="160">
        <f t="shared" si="14"/>
        <v>1.1999999999999999E-6</v>
      </c>
      <c r="H163" s="160">
        <f t="shared" si="15"/>
        <v>0</v>
      </c>
      <c r="I163" s="160">
        <f>'JSM Eingabe+TW'!$K$18*3.6*24</f>
        <v>0</v>
      </c>
      <c r="J163" s="159">
        <f t="shared" si="9"/>
        <v>9.9999999999999995E-7</v>
      </c>
      <c r="K163" s="143">
        <f t="shared" si="10"/>
        <v>9.9999999999999995E-7</v>
      </c>
      <c r="L163" s="161" t="str">
        <f t="shared" si="11"/>
        <v xml:space="preserve"> </v>
      </c>
      <c r="M163" s="162">
        <f t="shared" si="12"/>
        <v>9.9999999999999995E-7</v>
      </c>
      <c r="N163" s="162"/>
      <c r="V163" s="143"/>
      <c r="W163" s="142"/>
      <c r="X163" s="142"/>
      <c r="Y163" s="142"/>
      <c r="Z163" s="142"/>
      <c r="AA163" s="142"/>
    </row>
    <row r="164" spans="2:27" s="141" customFormat="1" x14ac:dyDescent="0.2">
      <c r="B164" s="157">
        <v>37366</v>
      </c>
      <c r="C164" s="158">
        <v>110</v>
      </c>
      <c r="D164" s="159">
        <f>'JSM Eingabe+TW'!CZ51</f>
        <v>9.9999999999999995E-7</v>
      </c>
      <c r="E164" s="159">
        <f t="shared" si="13"/>
        <v>0</v>
      </c>
      <c r="F164" s="163">
        <f t="shared" si="16"/>
        <v>9.9999999999999995E-7</v>
      </c>
      <c r="G164" s="160">
        <f t="shared" si="14"/>
        <v>1.1999999999999999E-6</v>
      </c>
      <c r="H164" s="160">
        <f t="shared" si="15"/>
        <v>0</v>
      </c>
      <c r="I164" s="160">
        <f>'JSM Eingabe+TW'!$K$18*3.6*24</f>
        <v>0</v>
      </c>
      <c r="J164" s="159">
        <f t="shared" si="9"/>
        <v>9.9999999999999995E-7</v>
      </c>
      <c r="K164" s="143">
        <f t="shared" si="10"/>
        <v>9.9999999999999995E-7</v>
      </c>
      <c r="L164" s="161" t="str">
        <f t="shared" si="11"/>
        <v xml:space="preserve"> </v>
      </c>
      <c r="M164" s="162">
        <f t="shared" si="12"/>
        <v>9.9999999999999995E-7</v>
      </c>
      <c r="N164" s="162"/>
      <c r="V164" s="143"/>
      <c r="W164" s="142"/>
      <c r="X164" s="142"/>
      <c r="Y164" s="142"/>
      <c r="Z164" s="142"/>
      <c r="AA164" s="142"/>
    </row>
    <row r="165" spans="2:27" s="141" customFormat="1" x14ac:dyDescent="0.2">
      <c r="B165" s="157">
        <v>37367</v>
      </c>
      <c r="C165" s="158">
        <v>111</v>
      </c>
      <c r="D165" s="159">
        <f>'JSM Eingabe+TW'!CZ52</f>
        <v>9.9999999999999995E-7</v>
      </c>
      <c r="E165" s="159">
        <f t="shared" si="13"/>
        <v>0</v>
      </c>
      <c r="F165" s="163">
        <f t="shared" si="16"/>
        <v>9.9999999999999995E-7</v>
      </c>
      <c r="G165" s="160">
        <f t="shared" si="14"/>
        <v>1.1999999999999999E-6</v>
      </c>
      <c r="H165" s="160">
        <f t="shared" si="15"/>
        <v>0</v>
      </c>
      <c r="I165" s="160">
        <f>'JSM Eingabe+TW'!$K$18*3.6*24</f>
        <v>0</v>
      </c>
      <c r="J165" s="159">
        <f t="shared" si="9"/>
        <v>9.9999999999999995E-7</v>
      </c>
      <c r="K165" s="143">
        <f t="shared" si="10"/>
        <v>9.9999999999999995E-7</v>
      </c>
      <c r="L165" s="161" t="str">
        <f t="shared" si="11"/>
        <v xml:space="preserve"> </v>
      </c>
      <c r="M165" s="162">
        <f t="shared" si="12"/>
        <v>9.9999999999999995E-7</v>
      </c>
      <c r="N165" s="162"/>
      <c r="V165" s="143"/>
      <c r="W165" s="142"/>
      <c r="X165" s="142"/>
      <c r="Y165" s="142"/>
      <c r="Z165" s="142"/>
      <c r="AA165" s="142"/>
    </row>
    <row r="166" spans="2:27" s="141" customFormat="1" x14ac:dyDescent="0.2">
      <c r="B166" s="157">
        <v>37368</v>
      </c>
      <c r="C166" s="158">
        <v>112</v>
      </c>
      <c r="D166" s="159">
        <f>'JSM Eingabe+TW'!CZ53</f>
        <v>9.9999999999999995E-7</v>
      </c>
      <c r="E166" s="159">
        <f t="shared" si="13"/>
        <v>0</v>
      </c>
      <c r="F166" s="163">
        <f t="shared" si="16"/>
        <v>9.9999999999999995E-7</v>
      </c>
      <c r="G166" s="160">
        <f t="shared" si="14"/>
        <v>1.1999999999999999E-6</v>
      </c>
      <c r="H166" s="160">
        <f t="shared" si="15"/>
        <v>0</v>
      </c>
      <c r="I166" s="160">
        <f>'JSM Eingabe+TW'!$K$18*3.6*24</f>
        <v>0</v>
      </c>
      <c r="J166" s="159">
        <f t="shared" si="9"/>
        <v>9.9999999999999995E-7</v>
      </c>
      <c r="K166" s="143">
        <f t="shared" si="10"/>
        <v>9.9999999999999995E-7</v>
      </c>
      <c r="L166" s="161" t="str">
        <f t="shared" si="11"/>
        <v xml:space="preserve"> </v>
      </c>
      <c r="M166" s="162">
        <f t="shared" si="12"/>
        <v>9.9999999999999995E-7</v>
      </c>
      <c r="N166" s="162"/>
      <c r="V166" s="143"/>
      <c r="W166" s="142"/>
      <c r="X166" s="142"/>
      <c r="Y166" s="142"/>
      <c r="Z166" s="142"/>
      <c r="AA166" s="142"/>
    </row>
    <row r="167" spans="2:27" s="141" customFormat="1" x14ac:dyDescent="0.2">
      <c r="B167" s="157">
        <v>37369</v>
      </c>
      <c r="C167" s="158">
        <v>113</v>
      </c>
      <c r="D167" s="159">
        <f>'JSM Eingabe+TW'!CZ54</f>
        <v>9.9999999999999995E-7</v>
      </c>
      <c r="E167" s="159">
        <f t="shared" si="13"/>
        <v>0</v>
      </c>
      <c r="F167" s="163">
        <f t="shared" si="16"/>
        <v>9.9999999999999995E-7</v>
      </c>
      <c r="G167" s="160">
        <f t="shared" si="14"/>
        <v>1.1999999999999999E-6</v>
      </c>
      <c r="H167" s="160">
        <f t="shared" si="15"/>
        <v>0</v>
      </c>
      <c r="I167" s="160">
        <f>'JSM Eingabe+TW'!$K$18*3.6*24</f>
        <v>0</v>
      </c>
      <c r="J167" s="159">
        <f t="shared" si="9"/>
        <v>9.9999999999999995E-7</v>
      </c>
      <c r="K167" s="143">
        <f t="shared" si="10"/>
        <v>9.9999999999999995E-7</v>
      </c>
      <c r="L167" s="161" t="str">
        <f t="shared" si="11"/>
        <v xml:space="preserve"> </v>
      </c>
      <c r="M167" s="162">
        <f t="shared" si="12"/>
        <v>9.9999999999999995E-7</v>
      </c>
      <c r="N167" s="162"/>
      <c r="V167" s="143"/>
      <c r="W167" s="142"/>
      <c r="X167" s="142"/>
      <c r="Y167" s="142"/>
      <c r="Z167" s="142"/>
      <c r="AA167" s="142"/>
    </row>
    <row r="168" spans="2:27" s="141" customFormat="1" x14ac:dyDescent="0.2">
      <c r="B168" s="157">
        <v>37370</v>
      </c>
      <c r="C168" s="158">
        <v>114</v>
      </c>
      <c r="D168" s="159">
        <f>'JSM Eingabe+TW'!CZ55</f>
        <v>9.9999999999999995E-7</v>
      </c>
      <c r="E168" s="159">
        <f t="shared" si="13"/>
        <v>0</v>
      </c>
      <c r="F168" s="163">
        <f t="shared" si="16"/>
        <v>9.9999999999999995E-7</v>
      </c>
      <c r="G168" s="160">
        <f t="shared" si="14"/>
        <v>1.1999999999999999E-6</v>
      </c>
      <c r="H168" s="160">
        <f t="shared" si="15"/>
        <v>0</v>
      </c>
      <c r="I168" s="160">
        <f>'JSM Eingabe+TW'!$K$18*3.6*24</f>
        <v>0</v>
      </c>
      <c r="J168" s="159">
        <f t="shared" si="9"/>
        <v>9.9999999999999995E-7</v>
      </c>
      <c r="K168" s="143">
        <f t="shared" si="10"/>
        <v>9.9999999999999995E-7</v>
      </c>
      <c r="L168" s="161" t="str">
        <f t="shared" si="11"/>
        <v xml:space="preserve"> </v>
      </c>
      <c r="M168" s="162">
        <f t="shared" si="12"/>
        <v>9.9999999999999995E-7</v>
      </c>
      <c r="N168" s="162"/>
      <c r="V168" s="143"/>
      <c r="W168" s="142"/>
      <c r="X168" s="142"/>
      <c r="Y168" s="142"/>
      <c r="Z168" s="142"/>
      <c r="AA168" s="142"/>
    </row>
    <row r="169" spans="2:27" s="141" customFormat="1" x14ac:dyDescent="0.2">
      <c r="B169" s="157">
        <v>37371</v>
      </c>
      <c r="C169" s="158">
        <v>115</v>
      </c>
      <c r="D169" s="159">
        <f>'JSM Eingabe+TW'!CZ56</f>
        <v>9.9999999999999995E-7</v>
      </c>
      <c r="E169" s="159">
        <f t="shared" si="13"/>
        <v>0</v>
      </c>
      <c r="F169" s="163">
        <f t="shared" si="16"/>
        <v>9.9999999999999995E-7</v>
      </c>
      <c r="G169" s="160">
        <f t="shared" si="14"/>
        <v>1.1999999999999999E-6</v>
      </c>
      <c r="H169" s="160">
        <f t="shared" si="15"/>
        <v>0</v>
      </c>
      <c r="I169" s="160">
        <f>'JSM Eingabe+TW'!$K$18*3.6*24</f>
        <v>0</v>
      </c>
      <c r="J169" s="159">
        <f t="shared" si="9"/>
        <v>9.9999999999999995E-7</v>
      </c>
      <c r="K169" s="143">
        <f t="shared" si="10"/>
        <v>9.9999999999999995E-7</v>
      </c>
      <c r="L169" s="161" t="str">
        <f t="shared" si="11"/>
        <v xml:space="preserve"> </v>
      </c>
      <c r="M169" s="162">
        <f t="shared" si="12"/>
        <v>9.9999999999999995E-7</v>
      </c>
      <c r="N169" s="162"/>
      <c r="V169" s="143"/>
      <c r="W169" s="142"/>
      <c r="X169" s="142"/>
      <c r="Y169" s="142"/>
      <c r="Z169" s="142"/>
      <c r="AA169" s="142"/>
    </row>
    <row r="170" spans="2:27" s="141" customFormat="1" x14ac:dyDescent="0.2">
      <c r="B170" s="157">
        <v>37372</v>
      </c>
      <c r="C170" s="158">
        <v>116</v>
      </c>
      <c r="D170" s="159">
        <f>'JSM Eingabe+TW'!CZ57</f>
        <v>9.9999999999999995E-7</v>
      </c>
      <c r="E170" s="159">
        <f t="shared" si="13"/>
        <v>0</v>
      </c>
      <c r="F170" s="163">
        <f t="shared" si="16"/>
        <v>9.9999999999999995E-7</v>
      </c>
      <c r="G170" s="160">
        <f t="shared" si="14"/>
        <v>1.1999999999999999E-6</v>
      </c>
      <c r="H170" s="160">
        <f t="shared" si="15"/>
        <v>0</v>
      </c>
      <c r="I170" s="160">
        <f>'JSM Eingabe+TW'!$K$18*3.6*24</f>
        <v>0</v>
      </c>
      <c r="J170" s="159">
        <f t="shared" si="9"/>
        <v>9.9999999999999995E-7</v>
      </c>
      <c r="K170" s="143">
        <f t="shared" si="10"/>
        <v>9.9999999999999995E-7</v>
      </c>
      <c r="L170" s="161" t="str">
        <f t="shared" si="11"/>
        <v xml:space="preserve"> </v>
      </c>
      <c r="M170" s="162">
        <f t="shared" si="12"/>
        <v>9.9999999999999995E-7</v>
      </c>
      <c r="N170" s="162"/>
      <c r="V170" s="143"/>
      <c r="W170" s="142"/>
      <c r="X170" s="142"/>
      <c r="Y170" s="142"/>
      <c r="Z170" s="142"/>
      <c r="AA170" s="142"/>
    </row>
    <row r="171" spans="2:27" s="141" customFormat="1" x14ac:dyDescent="0.2">
      <c r="B171" s="157">
        <v>37373</v>
      </c>
      <c r="C171" s="158">
        <v>117</v>
      </c>
      <c r="D171" s="159">
        <f>'JSM Eingabe+TW'!CZ58</f>
        <v>9.9999999999999995E-7</v>
      </c>
      <c r="E171" s="159">
        <f t="shared" si="13"/>
        <v>0</v>
      </c>
      <c r="F171" s="163">
        <f t="shared" si="16"/>
        <v>9.9999999999999995E-7</v>
      </c>
      <c r="G171" s="160">
        <f t="shared" si="14"/>
        <v>1.1999999999999999E-6</v>
      </c>
      <c r="H171" s="160">
        <f t="shared" si="15"/>
        <v>0</v>
      </c>
      <c r="I171" s="160">
        <f>'JSM Eingabe+TW'!$K$18*3.6*24</f>
        <v>0</v>
      </c>
      <c r="J171" s="159">
        <f t="shared" si="9"/>
        <v>9.9999999999999995E-7</v>
      </c>
      <c r="K171" s="143">
        <f t="shared" si="10"/>
        <v>9.9999999999999995E-7</v>
      </c>
      <c r="L171" s="161" t="str">
        <f t="shared" si="11"/>
        <v xml:space="preserve"> </v>
      </c>
      <c r="M171" s="162">
        <f t="shared" si="12"/>
        <v>9.9999999999999995E-7</v>
      </c>
      <c r="N171" s="162"/>
      <c r="V171" s="143"/>
      <c r="W171" s="142"/>
      <c r="X171" s="142"/>
      <c r="Y171" s="142"/>
      <c r="Z171" s="142"/>
      <c r="AA171" s="142"/>
    </row>
    <row r="172" spans="2:27" s="141" customFormat="1" x14ac:dyDescent="0.2">
      <c r="B172" s="157">
        <v>37374</v>
      </c>
      <c r="C172" s="158">
        <v>118</v>
      </c>
      <c r="D172" s="159">
        <f>'JSM Eingabe+TW'!CZ59</f>
        <v>9.9999999999999995E-7</v>
      </c>
      <c r="E172" s="159">
        <f t="shared" si="13"/>
        <v>0</v>
      </c>
      <c r="F172" s="163">
        <f t="shared" si="16"/>
        <v>9.9999999999999995E-7</v>
      </c>
      <c r="G172" s="160">
        <f t="shared" si="14"/>
        <v>1.1999999999999999E-6</v>
      </c>
      <c r="H172" s="160">
        <f t="shared" si="15"/>
        <v>0</v>
      </c>
      <c r="I172" s="160">
        <f>'JSM Eingabe+TW'!$K$18*3.6*24</f>
        <v>0</v>
      </c>
      <c r="J172" s="159">
        <f t="shared" si="9"/>
        <v>9.9999999999999995E-7</v>
      </c>
      <c r="K172" s="143">
        <f t="shared" si="10"/>
        <v>9.9999999999999995E-7</v>
      </c>
      <c r="L172" s="161" t="str">
        <f t="shared" si="11"/>
        <v xml:space="preserve"> </v>
      </c>
      <c r="M172" s="162">
        <f t="shared" si="12"/>
        <v>9.9999999999999995E-7</v>
      </c>
      <c r="N172" s="162"/>
      <c r="V172" s="143"/>
      <c r="W172" s="142"/>
      <c r="X172" s="142"/>
      <c r="Y172" s="142"/>
      <c r="Z172" s="142"/>
      <c r="AA172" s="142"/>
    </row>
    <row r="173" spans="2:27" s="141" customFormat="1" x14ac:dyDescent="0.2">
      <c r="B173" s="157">
        <v>37375</v>
      </c>
      <c r="C173" s="158">
        <v>119</v>
      </c>
      <c r="D173" s="159">
        <f>'JSM Eingabe+TW'!CZ60</f>
        <v>9.9999999999999995E-7</v>
      </c>
      <c r="E173" s="159">
        <f t="shared" si="13"/>
        <v>0</v>
      </c>
      <c r="F173" s="163">
        <f t="shared" si="16"/>
        <v>9.9999999999999995E-7</v>
      </c>
      <c r="G173" s="160">
        <f t="shared" si="14"/>
        <v>1.1999999999999999E-6</v>
      </c>
      <c r="H173" s="160">
        <f t="shared" si="15"/>
        <v>0</v>
      </c>
      <c r="I173" s="160">
        <f>'JSM Eingabe+TW'!$K$18*3.6*24</f>
        <v>0</v>
      </c>
      <c r="J173" s="159">
        <f t="shared" si="9"/>
        <v>9.9999999999999995E-7</v>
      </c>
      <c r="K173" s="143">
        <f t="shared" si="10"/>
        <v>9.9999999999999995E-7</v>
      </c>
      <c r="L173" s="161" t="str">
        <f t="shared" si="11"/>
        <v xml:space="preserve"> </v>
      </c>
      <c r="M173" s="162">
        <f t="shared" si="12"/>
        <v>9.9999999999999995E-7</v>
      </c>
      <c r="N173" s="162"/>
      <c r="V173" s="143"/>
      <c r="W173" s="142"/>
      <c r="X173" s="142"/>
      <c r="Y173" s="142"/>
      <c r="Z173" s="142"/>
      <c r="AA173" s="142"/>
    </row>
    <row r="174" spans="2:27" s="141" customFormat="1" x14ac:dyDescent="0.2">
      <c r="B174" s="157">
        <v>37376</v>
      </c>
      <c r="C174" s="158">
        <v>120</v>
      </c>
      <c r="D174" s="159">
        <f>'JSM Eingabe+TW'!CZ61</f>
        <v>9.9999999999999995E-7</v>
      </c>
      <c r="E174" s="159">
        <f t="shared" si="13"/>
        <v>0</v>
      </c>
      <c r="F174" s="163">
        <f t="shared" si="16"/>
        <v>9.9999999999999995E-7</v>
      </c>
      <c r="G174" s="160">
        <f t="shared" si="14"/>
        <v>1.1999999999999999E-6</v>
      </c>
      <c r="H174" s="160">
        <f t="shared" si="15"/>
        <v>0</v>
      </c>
      <c r="I174" s="160">
        <f>'JSM Eingabe+TW'!$K$18*3.6*24</f>
        <v>0</v>
      </c>
      <c r="J174" s="159">
        <f t="shared" si="9"/>
        <v>9.9999999999999995E-7</v>
      </c>
      <c r="K174" s="143">
        <f t="shared" si="10"/>
        <v>9.9999999999999995E-7</v>
      </c>
      <c r="L174" s="161" t="str">
        <f t="shared" si="11"/>
        <v xml:space="preserve"> </v>
      </c>
      <c r="M174" s="162">
        <f t="shared" si="12"/>
        <v>9.9999999999999995E-7</v>
      </c>
      <c r="N174" s="162"/>
      <c r="V174" s="143"/>
      <c r="W174" s="142"/>
      <c r="X174" s="142"/>
      <c r="Y174" s="142"/>
      <c r="Z174" s="142"/>
      <c r="AA174" s="142"/>
    </row>
    <row r="175" spans="2:27" s="141" customFormat="1" x14ac:dyDescent="0.2">
      <c r="B175" s="157">
        <v>37377</v>
      </c>
      <c r="C175" s="158">
        <v>121</v>
      </c>
      <c r="D175" s="159">
        <f>'JSM Eingabe+TW'!DA32</f>
        <v>9.9999999999999995E-7</v>
      </c>
      <c r="E175" s="159">
        <f t="shared" si="13"/>
        <v>0</v>
      </c>
      <c r="F175" s="163">
        <f t="shared" si="16"/>
        <v>9.9999999999999995E-7</v>
      </c>
      <c r="G175" s="160">
        <f t="shared" si="14"/>
        <v>1.1999999999999999E-6</v>
      </c>
      <c r="H175" s="160">
        <f t="shared" si="15"/>
        <v>0</v>
      </c>
      <c r="I175" s="160">
        <f>'JSM Eingabe+TW'!$K$18*3.6*24</f>
        <v>0</v>
      </c>
      <c r="J175" s="159">
        <f t="shared" si="9"/>
        <v>9.9999999999999995E-7</v>
      </c>
      <c r="K175" s="143">
        <f t="shared" si="10"/>
        <v>9.9999999999999995E-7</v>
      </c>
      <c r="L175" s="161" t="str">
        <f t="shared" si="11"/>
        <v xml:space="preserve"> </v>
      </c>
      <c r="M175" s="162">
        <f t="shared" si="12"/>
        <v>9.9999999999999995E-7</v>
      </c>
      <c r="N175" s="162"/>
      <c r="V175" s="143"/>
      <c r="W175" s="142"/>
      <c r="X175" s="142"/>
      <c r="Y175" s="142"/>
      <c r="Z175" s="142"/>
      <c r="AA175" s="142"/>
    </row>
    <row r="176" spans="2:27" s="141" customFormat="1" x14ac:dyDescent="0.2">
      <c r="B176" s="157">
        <v>37378</v>
      </c>
      <c r="C176" s="158">
        <v>122</v>
      </c>
      <c r="D176" s="159">
        <f>'JSM Eingabe+TW'!DA33</f>
        <v>9.9999999999999995E-7</v>
      </c>
      <c r="E176" s="159">
        <f t="shared" si="13"/>
        <v>0</v>
      </c>
      <c r="F176" s="163">
        <f t="shared" si="16"/>
        <v>9.9999999999999995E-7</v>
      </c>
      <c r="G176" s="160">
        <f t="shared" si="14"/>
        <v>1.1999999999999999E-6</v>
      </c>
      <c r="H176" s="160">
        <f t="shared" si="15"/>
        <v>0</v>
      </c>
      <c r="I176" s="160">
        <f>'JSM Eingabe+TW'!$K$18*3.6*24</f>
        <v>0</v>
      </c>
      <c r="J176" s="159">
        <f t="shared" si="9"/>
        <v>9.9999999999999995E-7</v>
      </c>
      <c r="K176" s="143">
        <f t="shared" si="10"/>
        <v>9.9999999999999995E-7</v>
      </c>
      <c r="L176" s="161" t="str">
        <f t="shared" si="11"/>
        <v xml:space="preserve"> </v>
      </c>
      <c r="M176" s="162">
        <f t="shared" si="12"/>
        <v>9.9999999999999995E-7</v>
      </c>
      <c r="N176" s="162"/>
      <c r="V176" s="143"/>
      <c r="W176" s="142"/>
      <c r="X176" s="142"/>
      <c r="Y176" s="142"/>
      <c r="Z176" s="142"/>
      <c r="AA176" s="142"/>
    </row>
    <row r="177" spans="2:27" s="141" customFormat="1" x14ac:dyDescent="0.2">
      <c r="B177" s="157">
        <v>37379</v>
      </c>
      <c r="C177" s="158">
        <v>123</v>
      </c>
      <c r="D177" s="159">
        <f>'JSM Eingabe+TW'!DA34</f>
        <v>9.9999999999999995E-7</v>
      </c>
      <c r="E177" s="159">
        <f t="shared" si="13"/>
        <v>0</v>
      </c>
      <c r="F177" s="163">
        <f t="shared" si="16"/>
        <v>9.9999999999999995E-7</v>
      </c>
      <c r="G177" s="160">
        <f t="shared" si="14"/>
        <v>1.1999999999999999E-6</v>
      </c>
      <c r="H177" s="160">
        <f t="shared" si="15"/>
        <v>0</v>
      </c>
      <c r="I177" s="160">
        <f>'JSM Eingabe+TW'!$K$18*3.6*24</f>
        <v>0</v>
      </c>
      <c r="J177" s="159">
        <f t="shared" si="9"/>
        <v>9.9999999999999995E-7</v>
      </c>
      <c r="K177" s="143">
        <f t="shared" si="10"/>
        <v>9.9999999999999995E-7</v>
      </c>
      <c r="L177" s="161" t="str">
        <f t="shared" si="11"/>
        <v xml:space="preserve"> </v>
      </c>
      <c r="M177" s="162">
        <f t="shared" si="12"/>
        <v>9.9999999999999995E-7</v>
      </c>
      <c r="N177" s="162"/>
      <c r="V177" s="143"/>
      <c r="W177" s="142"/>
      <c r="X177" s="142"/>
      <c r="Y177" s="142"/>
      <c r="Z177" s="142"/>
      <c r="AA177" s="142"/>
    </row>
    <row r="178" spans="2:27" s="141" customFormat="1" x14ac:dyDescent="0.2">
      <c r="B178" s="157">
        <v>37380</v>
      </c>
      <c r="C178" s="158">
        <v>124</v>
      </c>
      <c r="D178" s="159">
        <f>'JSM Eingabe+TW'!DA35</f>
        <v>9.9999999999999995E-7</v>
      </c>
      <c r="E178" s="159">
        <f t="shared" si="13"/>
        <v>0</v>
      </c>
      <c r="F178" s="163">
        <f t="shared" si="16"/>
        <v>9.9999999999999995E-7</v>
      </c>
      <c r="G178" s="160">
        <f t="shared" si="14"/>
        <v>1.1999999999999999E-6</v>
      </c>
      <c r="H178" s="160">
        <f t="shared" si="15"/>
        <v>0</v>
      </c>
      <c r="I178" s="160">
        <f>'JSM Eingabe+TW'!$K$18*3.6*24</f>
        <v>0</v>
      </c>
      <c r="J178" s="159">
        <f t="shared" si="9"/>
        <v>9.9999999999999995E-7</v>
      </c>
      <c r="K178" s="143">
        <f t="shared" si="10"/>
        <v>9.9999999999999995E-7</v>
      </c>
      <c r="L178" s="161" t="str">
        <f t="shared" si="11"/>
        <v xml:space="preserve"> </v>
      </c>
      <c r="M178" s="162">
        <f t="shared" si="12"/>
        <v>9.9999999999999995E-7</v>
      </c>
      <c r="N178" s="162"/>
      <c r="V178" s="143"/>
      <c r="W178" s="142"/>
      <c r="X178" s="142"/>
      <c r="Y178" s="142"/>
      <c r="Z178" s="142"/>
      <c r="AA178" s="142"/>
    </row>
    <row r="179" spans="2:27" s="141" customFormat="1" x14ac:dyDescent="0.2">
      <c r="B179" s="157">
        <v>37381</v>
      </c>
      <c r="C179" s="158">
        <v>125</v>
      </c>
      <c r="D179" s="159">
        <f>'JSM Eingabe+TW'!DA36</f>
        <v>9.9999999999999995E-7</v>
      </c>
      <c r="E179" s="159">
        <f t="shared" si="13"/>
        <v>0</v>
      </c>
      <c r="F179" s="163">
        <f t="shared" si="16"/>
        <v>9.9999999999999995E-7</v>
      </c>
      <c r="G179" s="160">
        <f t="shared" si="14"/>
        <v>1.1999999999999999E-6</v>
      </c>
      <c r="H179" s="160">
        <f t="shared" si="15"/>
        <v>0</v>
      </c>
      <c r="I179" s="160">
        <f>'JSM Eingabe+TW'!$K$18*3.6*24</f>
        <v>0</v>
      </c>
      <c r="J179" s="159">
        <f t="shared" si="9"/>
        <v>9.9999999999999995E-7</v>
      </c>
      <c r="K179" s="143">
        <f t="shared" si="10"/>
        <v>9.9999999999999995E-7</v>
      </c>
      <c r="L179" s="161" t="str">
        <f t="shared" si="11"/>
        <v xml:space="preserve"> </v>
      </c>
      <c r="M179" s="162">
        <f t="shared" si="12"/>
        <v>9.9999999999999995E-7</v>
      </c>
      <c r="N179" s="162"/>
      <c r="V179" s="143"/>
      <c r="W179" s="142"/>
      <c r="X179" s="142"/>
      <c r="Y179" s="142"/>
      <c r="Z179" s="142"/>
      <c r="AA179" s="142"/>
    </row>
    <row r="180" spans="2:27" s="141" customFormat="1" x14ac:dyDescent="0.2">
      <c r="B180" s="157">
        <v>37382</v>
      </c>
      <c r="C180" s="158">
        <v>126</v>
      </c>
      <c r="D180" s="159">
        <f>'JSM Eingabe+TW'!DA37</f>
        <v>9.9999999999999995E-7</v>
      </c>
      <c r="E180" s="159">
        <f t="shared" si="13"/>
        <v>0</v>
      </c>
      <c r="F180" s="163">
        <f t="shared" si="16"/>
        <v>9.9999999999999995E-7</v>
      </c>
      <c r="G180" s="160">
        <f t="shared" si="14"/>
        <v>1.1999999999999999E-6</v>
      </c>
      <c r="H180" s="160">
        <f t="shared" si="15"/>
        <v>0</v>
      </c>
      <c r="I180" s="160">
        <f>'JSM Eingabe+TW'!$K$18*3.6*24</f>
        <v>0</v>
      </c>
      <c r="J180" s="159">
        <f t="shared" si="9"/>
        <v>9.9999999999999995E-7</v>
      </c>
      <c r="K180" s="143">
        <f t="shared" si="10"/>
        <v>9.9999999999999995E-7</v>
      </c>
      <c r="L180" s="161" t="str">
        <f t="shared" si="11"/>
        <v xml:space="preserve"> </v>
      </c>
      <c r="M180" s="162">
        <f t="shared" si="12"/>
        <v>9.9999999999999995E-7</v>
      </c>
      <c r="N180" s="162"/>
      <c r="V180" s="143"/>
      <c r="W180" s="142"/>
      <c r="X180" s="142"/>
      <c r="Y180" s="142"/>
      <c r="Z180" s="142"/>
      <c r="AA180" s="142"/>
    </row>
    <row r="181" spans="2:27" s="141" customFormat="1" x14ac:dyDescent="0.2">
      <c r="B181" s="157">
        <v>37383</v>
      </c>
      <c r="C181" s="158">
        <v>127</v>
      </c>
      <c r="D181" s="159">
        <f>'JSM Eingabe+TW'!DA38</f>
        <v>9.9999999999999995E-7</v>
      </c>
      <c r="E181" s="159">
        <f t="shared" si="13"/>
        <v>0</v>
      </c>
      <c r="F181" s="163">
        <f t="shared" si="16"/>
        <v>9.9999999999999995E-7</v>
      </c>
      <c r="G181" s="160">
        <f t="shared" si="14"/>
        <v>1.1999999999999999E-6</v>
      </c>
      <c r="H181" s="160">
        <f t="shared" si="15"/>
        <v>0</v>
      </c>
      <c r="I181" s="160">
        <f>'JSM Eingabe+TW'!$K$18*3.6*24</f>
        <v>0</v>
      </c>
      <c r="J181" s="159">
        <f t="shared" si="9"/>
        <v>9.9999999999999995E-7</v>
      </c>
      <c r="K181" s="143">
        <f t="shared" si="10"/>
        <v>9.9999999999999995E-7</v>
      </c>
      <c r="L181" s="161" t="str">
        <f t="shared" si="11"/>
        <v xml:space="preserve"> </v>
      </c>
      <c r="M181" s="162">
        <f t="shared" si="12"/>
        <v>9.9999999999999995E-7</v>
      </c>
      <c r="N181" s="162"/>
      <c r="V181" s="143"/>
      <c r="W181" s="142"/>
      <c r="X181" s="142"/>
      <c r="Y181" s="142"/>
      <c r="Z181" s="142"/>
      <c r="AA181" s="142"/>
    </row>
    <row r="182" spans="2:27" s="141" customFormat="1" x14ac:dyDescent="0.2">
      <c r="B182" s="157">
        <v>37384</v>
      </c>
      <c r="C182" s="158">
        <v>128</v>
      </c>
      <c r="D182" s="159">
        <f>'JSM Eingabe+TW'!DA39</f>
        <v>9.9999999999999995E-7</v>
      </c>
      <c r="E182" s="159">
        <f t="shared" si="13"/>
        <v>0</v>
      </c>
      <c r="F182" s="163">
        <f t="shared" si="16"/>
        <v>9.9999999999999995E-7</v>
      </c>
      <c r="G182" s="160">
        <f t="shared" si="14"/>
        <v>1.1999999999999999E-6</v>
      </c>
      <c r="H182" s="160">
        <f t="shared" si="15"/>
        <v>0</v>
      </c>
      <c r="I182" s="160">
        <f>'JSM Eingabe+TW'!$K$18*3.6*24</f>
        <v>0</v>
      </c>
      <c r="J182" s="159">
        <f t="shared" si="9"/>
        <v>9.9999999999999995E-7</v>
      </c>
      <c r="K182" s="143">
        <f t="shared" si="10"/>
        <v>9.9999999999999995E-7</v>
      </c>
      <c r="L182" s="161" t="str">
        <f t="shared" si="11"/>
        <v xml:space="preserve"> </v>
      </c>
      <c r="M182" s="162">
        <f t="shared" si="12"/>
        <v>9.9999999999999995E-7</v>
      </c>
      <c r="N182" s="162"/>
      <c r="V182" s="143"/>
      <c r="W182" s="142"/>
      <c r="X182" s="142"/>
      <c r="Y182" s="142"/>
      <c r="Z182" s="142"/>
      <c r="AA182" s="142"/>
    </row>
    <row r="183" spans="2:27" s="141" customFormat="1" x14ac:dyDescent="0.2">
      <c r="B183" s="157">
        <v>37385</v>
      </c>
      <c r="C183" s="158">
        <v>129</v>
      </c>
      <c r="D183" s="159">
        <f>'JSM Eingabe+TW'!DA40</f>
        <v>9.9999999999999995E-7</v>
      </c>
      <c r="E183" s="159">
        <f t="shared" si="13"/>
        <v>0</v>
      </c>
      <c r="F183" s="163">
        <f t="shared" si="16"/>
        <v>9.9999999999999995E-7</v>
      </c>
      <c r="G183" s="160">
        <f t="shared" si="14"/>
        <v>1.1999999999999999E-6</v>
      </c>
      <c r="H183" s="160">
        <f t="shared" si="15"/>
        <v>0</v>
      </c>
      <c r="I183" s="160">
        <f>'JSM Eingabe+TW'!$K$18*3.6*24</f>
        <v>0</v>
      </c>
      <c r="J183" s="159">
        <f t="shared" ref="J183:J246" si="17">IF(D183&lt;=G183,D183,0)</f>
        <v>9.9999999999999995E-7</v>
      </c>
      <c r="K183" s="143">
        <f t="shared" ref="K183:K246" si="18">IF(F183&lt;E183,0,F183-E183)</f>
        <v>9.9999999999999995E-7</v>
      </c>
      <c r="L183" s="161" t="str">
        <f t="shared" ref="L183:L246" si="19">IF(M183&lt;0,1, " ")</f>
        <v xml:space="preserve"> </v>
      </c>
      <c r="M183" s="162">
        <f t="shared" ref="M183:M246" si="20">F183-E183</f>
        <v>9.9999999999999995E-7</v>
      </c>
      <c r="N183" s="162"/>
      <c r="V183" s="143"/>
      <c r="W183" s="142"/>
      <c r="X183" s="142"/>
      <c r="Y183" s="142"/>
      <c r="Z183" s="142"/>
      <c r="AA183" s="142"/>
    </row>
    <row r="184" spans="2:27" s="141" customFormat="1" x14ac:dyDescent="0.2">
      <c r="B184" s="157">
        <v>37386</v>
      </c>
      <c r="C184" s="158">
        <v>130</v>
      </c>
      <c r="D184" s="159">
        <f>'JSM Eingabe+TW'!DA41</f>
        <v>9.9999999999999995E-7</v>
      </c>
      <c r="E184" s="159">
        <f t="shared" ref="E184:E247" si="21">$E$55</f>
        <v>0</v>
      </c>
      <c r="F184" s="163">
        <f t="shared" si="16"/>
        <v>9.9999999999999995E-7</v>
      </c>
      <c r="G184" s="160">
        <f t="shared" ref="G184:G247" si="22">F184*1.2</f>
        <v>1.1999999999999999E-6</v>
      </c>
      <c r="H184" s="160">
        <f t="shared" si="15"/>
        <v>0</v>
      </c>
      <c r="I184" s="160">
        <f>'JSM Eingabe+TW'!$K$18*3.6*24</f>
        <v>0</v>
      </c>
      <c r="J184" s="159">
        <f t="shared" si="17"/>
        <v>9.9999999999999995E-7</v>
      </c>
      <c r="K184" s="143">
        <f t="shared" si="18"/>
        <v>9.9999999999999995E-7</v>
      </c>
      <c r="L184" s="161" t="str">
        <f t="shared" si="19"/>
        <v xml:space="preserve"> </v>
      </c>
      <c r="M184" s="162">
        <f t="shared" si="20"/>
        <v>9.9999999999999995E-7</v>
      </c>
      <c r="N184" s="162"/>
      <c r="V184" s="143"/>
      <c r="W184" s="142"/>
      <c r="X184" s="142"/>
      <c r="Y184" s="142"/>
      <c r="Z184" s="142"/>
      <c r="AA184" s="142"/>
    </row>
    <row r="185" spans="2:27" s="141" customFormat="1" x14ac:dyDescent="0.2">
      <c r="B185" s="157">
        <v>37387</v>
      </c>
      <c r="C185" s="158">
        <v>131</v>
      </c>
      <c r="D185" s="159">
        <f>'JSM Eingabe+TW'!DA42</f>
        <v>9.9999999999999995E-7</v>
      </c>
      <c r="E185" s="159">
        <f t="shared" si="21"/>
        <v>0</v>
      </c>
      <c r="F185" s="163">
        <f t="shared" si="16"/>
        <v>9.9999999999999995E-7</v>
      </c>
      <c r="G185" s="160">
        <f t="shared" si="22"/>
        <v>1.1999999999999999E-6</v>
      </c>
      <c r="H185" s="160">
        <f t="shared" ref="H185:H248" si="23">H184</f>
        <v>0</v>
      </c>
      <c r="I185" s="160">
        <f>'JSM Eingabe+TW'!$K$18*3.6*24</f>
        <v>0</v>
      </c>
      <c r="J185" s="159">
        <f t="shared" si="17"/>
        <v>9.9999999999999995E-7</v>
      </c>
      <c r="K185" s="143">
        <f t="shared" si="18"/>
        <v>9.9999999999999995E-7</v>
      </c>
      <c r="L185" s="161" t="str">
        <f t="shared" si="19"/>
        <v xml:space="preserve"> </v>
      </c>
      <c r="M185" s="162">
        <f t="shared" si="20"/>
        <v>9.9999999999999995E-7</v>
      </c>
      <c r="N185" s="162"/>
      <c r="V185" s="143"/>
      <c r="W185" s="142"/>
      <c r="X185" s="142"/>
      <c r="Y185" s="142"/>
      <c r="Z185" s="142"/>
      <c r="AA185" s="142"/>
    </row>
    <row r="186" spans="2:27" s="141" customFormat="1" x14ac:dyDescent="0.2">
      <c r="B186" s="157">
        <v>37388</v>
      </c>
      <c r="C186" s="158">
        <v>132</v>
      </c>
      <c r="D186" s="159">
        <f>'JSM Eingabe+TW'!DA43</f>
        <v>9.9999999999999995E-7</v>
      </c>
      <c r="E186" s="159">
        <f t="shared" si="21"/>
        <v>0</v>
      </c>
      <c r="F186" s="163">
        <f t="shared" si="16"/>
        <v>9.9999999999999995E-7</v>
      </c>
      <c r="G186" s="160">
        <f t="shared" si="22"/>
        <v>1.1999999999999999E-6</v>
      </c>
      <c r="H186" s="160">
        <f t="shared" si="23"/>
        <v>0</v>
      </c>
      <c r="I186" s="160">
        <f>'JSM Eingabe+TW'!$K$18*3.6*24</f>
        <v>0</v>
      </c>
      <c r="J186" s="159">
        <f t="shared" si="17"/>
        <v>9.9999999999999995E-7</v>
      </c>
      <c r="K186" s="143">
        <f t="shared" si="18"/>
        <v>9.9999999999999995E-7</v>
      </c>
      <c r="L186" s="161" t="str">
        <f t="shared" si="19"/>
        <v xml:space="preserve"> </v>
      </c>
      <c r="M186" s="162">
        <f t="shared" si="20"/>
        <v>9.9999999999999995E-7</v>
      </c>
      <c r="N186" s="162"/>
      <c r="V186" s="143"/>
      <c r="W186" s="142"/>
      <c r="X186" s="142"/>
      <c r="Y186" s="142"/>
      <c r="Z186" s="142"/>
      <c r="AA186" s="142"/>
    </row>
    <row r="187" spans="2:27" s="141" customFormat="1" x14ac:dyDescent="0.2">
      <c r="B187" s="157">
        <v>37389</v>
      </c>
      <c r="C187" s="158">
        <v>133</v>
      </c>
      <c r="D187" s="159">
        <f>'JSM Eingabe+TW'!DA44</f>
        <v>9.9999999999999995E-7</v>
      </c>
      <c r="E187" s="159">
        <f t="shared" si="21"/>
        <v>0</v>
      </c>
      <c r="F187" s="163">
        <f t="shared" si="16"/>
        <v>9.9999999999999995E-7</v>
      </c>
      <c r="G187" s="160">
        <f t="shared" si="22"/>
        <v>1.1999999999999999E-6</v>
      </c>
      <c r="H187" s="160">
        <f t="shared" si="23"/>
        <v>0</v>
      </c>
      <c r="I187" s="160">
        <f>'JSM Eingabe+TW'!$K$18*3.6*24</f>
        <v>0</v>
      </c>
      <c r="J187" s="159">
        <f t="shared" si="17"/>
        <v>9.9999999999999995E-7</v>
      </c>
      <c r="K187" s="143">
        <f t="shared" si="18"/>
        <v>9.9999999999999995E-7</v>
      </c>
      <c r="L187" s="161" t="str">
        <f t="shared" si="19"/>
        <v xml:space="preserve"> </v>
      </c>
      <c r="M187" s="162">
        <f t="shared" si="20"/>
        <v>9.9999999999999995E-7</v>
      </c>
      <c r="N187" s="162"/>
      <c r="V187" s="143"/>
      <c r="W187" s="142"/>
      <c r="X187" s="142"/>
      <c r="Y187" s="142"/>
      <c r="Z187" s="142"/>
      <c r="AA187" s="142"/>
    </row>
    <row r="188" spans="2:27" s="141" customFormat="1" x14ac:dyDescent="0.2">
      <c r="B188" s="157">
        <v>37390</v>
      </c>
      <c r="C188" s="158">
        <v>134</v>
      </c>
      <c r="D188" s="159">
        <f>'JSM Eingabe+TW'!DA45</f>
        <v>9.9999999999999995E-7</v>
      </c>
      <c r="E188" s="159">
        <f t="shared" si="21"/>
        <v>0</v>
      </c>
      <c r="F188" s="163">
        <f t="shared" si="16"/>
        <v>9.9999999999999995E-7</v>
      </c>
      <c r="G188" s="160">
        <f t="shared" si="22"/>
        <v>1.1999999999999999E-6</v>
      </c>
      <c r="H188" s="160">
        <f t="shared" si="23"/>
        <v>0</v>
      </c>
      <c r="I188" s="160">
        <f>'JSM Eingabe+TW'!$K$18*3.6*24</f>
        <v>0</v>
      </c>
      <c r="J188" s="159">
        <f t="shared" si="17"/>
        <v>9.9999999999999995E-7</v>
      </c>
      <c r="K188" s="143">
        <f t="shared" si="18"/>
        <v>9.9999999999999995E-7</v>
      </c>
      <c r="L188" s="161" t="str">
        <f t="shared" si="19"/>
        <v xml:space="preserve"> </v>
      </c>
      <c r="M188" s="162">
        <f t="shared" si="20"/>
        <v>9.9999999999999995E-7</v>
      </c>
      <c r="N188" s="162"/>
      <c r="V188" s="143"/>
      <c r="W188" s="142"/>
      <c r="X188" s="142"/>
      <c r="Y188" s="142"/>
      <c r="Z188" s="142"/>
      <c r="AA188" s="142"/>
    </row>
    <row r="189" spans="2:27" s="141" customFormat="1" x14ac:dyDescent="0.2">
      <c r="B189" s="157">
        <v>37391</v>
      </c>
      <c r="C189" s="158">
        <v>135</v>
      </c>
      <c r="D189" s="159">
        <f>'JSM Eingabe+TW'!DA46</f>
        <v>9.9999999999999995E-7</v>
      </c>
      <c r="E189" s="159">
        <f t="shared" si="21"/>
        <v>0</v>
      </c>
      <c r="F189" s="163">
        <f t="shared" si="16"/>
        <v>9.9999999999999995E-7</v>
      </c>
      <c r="G189" s="160">
        <f t="shared" si="22"/>
        <v>1.1999999999999999E-6</v>
      </c>
      <c r="H189" s="160">
        <f t="shared" si="23"/>
        <v>0</v>
      </c>
      <c r="I189" s="160">
        <f>'JSM Eingabe+TW'!$K$18*3.6*24</f>
        <v>0</v>
      </c>
      <c r="J189" s="159">
        <f t="shared" si="17"/>
        <v>9.9999999999999995E-7</v>
      </c>
      <c r="K189" s="143">
        <f t="shared" si="18"/>
        <v>9.9999999999999995E-7</v>
      </c>
      <c r="L189" s="161" t="str">
        <f t="shared" si="19"/>
        <v xml:space="preserve"> </v>
      </c>
      <c r="M189" s="162">
        <f t="shared" si="20"/>
        <v>9.9999999999999995E-7</v>
      </c>
      <c r="N189" s="162"/>
      <c r="V189" s="143"/>
      <c r="W189" s="142"/>
      <c r="X189" s="142"/>
      <c r="Y189" s="142"/>
      <c r="Z189" s="142"/>
      <c r="AA189" s="142"/>
    </row>
    <row r="190" spans="2:27" s="141" customFormat="1" x14ac:dyDescent="0.2">
      <c r="B190" s="157">
        <v>37392</v>
      </c>
      <c r="C190" s="158">
        <v>136</v>
      </c>
      <c r="D190" s="159">
        <f>'JSM Eingabe+TW'!DA47</f>
        <v>9.9999999999999995E-7</v>
      </c>
      <c r="E190" s="159">
        <f t="shared" si="21"/>
        <v>0</v>
      </c>
      <c r="F190" s="163">
        <f t="shared" si="16"/>
        <v>9.9999999999999995E-7</v>
      </c>
      <c r="G190" s="160">
        <f t="shared" si="22"/>
        <v>1.1999999999999999E-6</v>
      </c>
      <c r="H190" s="160">
        <f t="shared" si="23"/>
        <v>0</v>
      </c>
      <c r="I190" s="160">
        <f>'JSM Eingabe+TW'!$K$18*3.6*24</f>
        <v>0</v>
      </c>
      <c r="J190" s="159">
        <f t="shared" si="17"/>
        <v>9.9999999999999995E-7</v>
      </c>
      <c r="K190" s="143">
        <f t="shared" si="18"/>
        <v>9.9999999999999995E-7</v>
      </c>
      <c r="L190" s="161" t="str">
        <f t="shared" si="19"/>
        <v xml:space="preserve"> </v>
      </c>
      <c r="M190" s="162">
        <f t="shared" si="20"/>
        <v>9.9999999999999995E-7</v>
      </c>
      <c r="N190" s="162"/>
      <c r="V190" s="143"/>
      <c r="W190" s="142"/>
      <c r="X190" s="142"/>
      <c r="Y190" s="142"/>
      <c r="Z190" s="142"/>
      <c r="AA190" s="142"/>
    </row>
    <row r="191" spans="2:27" s="141" customFormat="1" x14ac:dyDescent="0.2">
      <c r="B191" s="157">
        <v>37393</v>
      </c>
      <c r="C191" s="158">
        <v>137</v>
      </c>
      <c r="D191" s="159">
        <f>'JSM Eingabe+TW'!DA48</f>
        <v>9.9999999999999995E-7</v>
      </c>
      <c r="E191" s="159">
        <f t="shared" si="21"/>
        <v>0</v>
      </c>
      <c r="F191" s="163">
        <f t="shared" si="16"/>
        <v>9.9999999999999995E-7</v>
      </c>
      <c r="G191" s="160">
        <f t="shared" si="22"/>
        <v>1.1999999999999999E-6</v>
      </c>
      <c r="H191" s="160">
        <f t="shared" si="23"/>
        <v>0</v>
      </c>
      <c r="I191" s="160">
        <f>'JSM Eingabe+TW'!$K$18*3.6*24</f>
        <v>0</v>
      </c>
      <c r="J191" s="159">
        <f t="shared" si="17"/>
        <v>9.9999999999999995E-7</v>
      </c>
      <c r="K191" s="143">
        <f t="shared" si="18"/>
        <v>9.9999999999999995E-7</v>
      </c>
      <c r="L191" s="161" t="str">
        <f t="shared" si="19"/>
        <v xml:space="preserve"> </v>
      </c>
      <c r="M191" s="162">
        <f t="shared" si="20"/>
        <v>9.9999999999999995E-7</v>
      </c>
      <c r="N191" s="162"/>
      <c r="V191" s="143"/>
      <c r="W191" s="142"/>
      <c r="X191" s="142"/>
      <c r="Y191" s="142"/>
      <c r="Z191" s="142"/>
      <c r="AA191" s="142"/>
    </row>
    <row r="192" spans="2:27" s="141" customFormat="1" x14ac:dyDescent="0.2">
      <c r="B192" s="157">
        <v>37394</v>
      </c>
      <c r="C192" s="158">
        <v>138</v>
      </c>
      <c r="D192" s="159">
        <f>'JSM Eingabe+TW'!DA49</f>
        <v>9.9999999999999995E-7</v>
      </c>
      <c r="E192" s="159">
        <f t="shared" si="21"/>
        <v>0</v>
      </c>
      <c r="F192" s="163">
        <f t="shared" si="16"/>
        <v>9.9999999999999995E-7</v>
      </c>
      <c r="G192" s="160">
        <f t="shared" si="22"/>
        <v>1.1999999999999999E-6</v>
      </c>
      <c r="H192" s="160">
        <f t="shared" si="23"/>
        <v>0</v>
      </c>
      <c r="I192" s="160">
        <f>'JSM Eingabe+TW'!$K$18*3.6*24</f>
        <v>0</v>
      </c>
      <c r="J192" s="159">
        <f t="shared" si="17"/>
        <v>9.9999999999999995E-7</v>
      </c>
      <c r="K192" s="143">
        <f t="shared" si="18"/>
        <v>9.9999999999999995E-7</v>
      </c>
      <c r="L192" s="161" t="str">
        <f t="shared" si="19"/>
        <v xml:space="preserve"> </v>
      </c>
      <c r="M192" s="162">
        <f t="shared" si="20"/>
        <v>9.9999999999999995E-7</v>
      </c>
      <c r="N192" s="162"/>
      <c r="V192" s="143"/>
      <c r="W192" s="142"/>
      <c r="X192" s="142"/>
      <c r="Y192" s="142"/>
      <c r="Z192" s="142"/>
      <c r="AA192" s="142"/>
    </row>
    <row r="193" spans="2:27" s="141" customFormat="1" x14ac:dyDescent="0.2">
      <c r="B193" s="157">
        <v>37395</v>
      </c>
      <c r="C193" s="158">
        <v>139</v>
      </c>
      <c r="D193" s="159">
        <f>'JSM Eingabe+TW'!DA50</f>
        <v>9.9999999999999995E-7</v>
      </c>
      <c r="E193" s="159">
        <f t="shared" si="21"/>
        <v>0</v>
      </c>
      <c r="F193" s="163">
        <f t="shared" si="16"/>
        <v>9.9999999999999995E-7</v>
      </c>
      <c r="G193" s="160">
        <f t="shared" si="22"/>
        <v>1.1999999999999999E-6</v>
      </c>
      <c r="H193" s="160">
        <f t="shared" si="23"/>
        <v>0</v>
      </c>
      <c r="I193" s="160">
        <f>'JSM Eingabe+TW'!$K$18*3.6*24</f>
        <v>0</v>
      </c>
      <c r="J193" s="159">
        <f t="shared" si="17"/>
        <v>9.9999999999999995E-7</v>
      </c>
      <c r="K193" s="143">
        <f t="shared" si="18"/>
        <v>9.9999999999999995E-7</v>
      </c>
      <c r="L193" s="161" t="str">
        <f t="shared" si="19"/>
        <v xml:space="preserve"> </v>
      </c>
      <c r="M193" s="162">
        <f t="shared" si="20"/>
        <v>9.9999999999999995E-7</v>
      </c>
      <c r="N193" s="162"/>
      <c r="V193" s="143"/>
      <c r="W193" s="142"/>
      <c r="X193" s="142"/>
      <c r="Y193" s="142"/>
      <c r="Z193" s="142"/>
      <c r="AA193" s="142"/>
    </row>
    <row r="194" spans="2:27" s="141" customFormat="1" x14ac:dyDescent="0.2">
      <c r="B194" s="157">
        <v>37396</v>
      </c>
      <c r="C194" s="158">
        <v>140</v>
      </c>
      <c r="D194" s="159">
        <f>'JSM Eingabe+TW'!DA51</f>
        <v>9.9999999999999995E-7</v>
      </c>
      <c r="E194" s="159">
        <f t="shared" si="21"/>
        <v>0</v>
      </c>
      <c r="F194" s="163">
        <f t="shared" ref="F194:F257" si="24">SMALL(D184:D204,1)</f>
        <v>9.9999999999999995E-7</v>
      </c>
      <c r="G194" s="160">
        <f t="shared" si="22"/>
        <v>1.1999999999999999E-6</v>
      </c>
      <c r="H194" s="160">
        <f t="shared" si="23"/>
        <v>0</v>
      </c>
      <c r="I194" s="160">
        <f>'JSM Eingabe+TW'!$K$18*3.6*24</f>
        <v>0</v>
      </c>
      <c r="J194" s="159">
        <f t="shared" si="17"/>
        <v>9.9999999999999995E-7</v>
      </c>
      <c r="K194" s="143">
        <f t="shared" si="18"/>
        <v>9.9999999999999995E-7</v>
      </c>
      <c r="L194" s="161" t="str">
        <f t="shared" si="19"/>
        <v xml:space="preserve"> </v>
      </c>
      <c r="M194" s="162">
        <f t="shared" si="20"/>
        <v>9.9999999999999995E-7</v>
      </c>
      <c r="N194" s="162"/>
      <c r="V194" s="143"/>
      <c r="W194" s="142"/>
      <c r="X194" s="142"/>
      <c r="Y194" s="142"/>
      <c r="Z194" s="142"/>
      <c r="AA194" s="142"/>
    </row>
    <row r="195" spans="2:27" s="141" customFormat="1" x14ac:dyDescent="0.2">
      <c r="B195" s="157">
        <v>37397</v>
      </c>
      <c r="C195" s="158">
        <v>141</v>
      </c>
      <c r="D195" s="159">
        <f>'JSM Eingabe+TW'!DA52</f>
        <v>9.9999999999999995E-7</v>
      </c>
      <c r="E195" s="159">
        <f t="shared" si="21"/>
        <v>0</v>
      </c>
      <c r="F195" s="163">
        <f t="shared" si="24"/>
        <v>9.9999999999999995E-7</v>
      </c>
      <c r="G195" s="160">
        <f t="shared" si="22"/>
        <v>1.1999999999999999E-6</v>
      </c>
      <c r="H195" s="160">
        <f t="shared" si="23"/>
        <v>0</v>
      </c>
      <c r="I195" s="160">
        <f>'JSM Eingabe+TW'!$K$18*3.6*24</f>
        <v>0</v>
      </c>
      <c r="J195" s="159">
        <f t="shared" si="17"/>
        <v>9.9999999999999995E-7</v>
      </c>
      <c r="K195" s="143">
        <f t="shared" si="18"/>
        <v>9.9999999999999995E-7</v>
      </c>
      <c r="L195" s="161" t="str">
        <f t="shared" si="19"/>
        <v xml:space="preserve"> </v>
      </c>
      <c r="M195" s="162">
        <f t="shared" si="20"/>
        <v>9.9999999999999995E-7</v>
      </c>
      <c r="N195" s="162"/>
      <c r="V195" s="143"/>
      <c r="W195" s="142"/>
      <c r="X195" s="142"/>
      <c r="Y195" s="142"/>
      <c r="Z195" s="142"/>
      <c r="AA195" s="142"/>
    </row>
    <row r="196" spans="2:27" s="141" customFormat="1" x14ac:dyDescent="0.2">
      <c r="B196" s="157">
        <v>37398</v>
      </c>
      <c r="C196" s="158">
        <v>142</v>
      </c>
      <c r="D196" s="159">
        <f>'JSM Eingabe+TW'!DA53</f>
        <v>9.9999999999999995E-7</v>
      </c>
      <c r="E196" s="159">
        <f t="shared" si="21"/>
        <v>0</v>
      </c>
      <c r="F196" s="163">
        <f t="shared" si="24"/>
        <v>9.9999999999999995E-7</v>
      </c>
      <c r="G196" s="160">
        <f t="shared" si="22"/>
        <v>1.1999999999999999E-6</v>
      </c>
      <c r="H196" s="160">
        <f t="shared" si="23"/>
        <v>0</v>
      </c>
      <c r="I196" s="160">
        <f>'JSM Eingabe+TW'!$K$18*3.6*24</f>
        <v>0</v>
      </c>
      <c r="J196" s="159">
        <f t="shared" si="17"/>
        <v>9.9999999999999995E-7</v>
      </c>
      <c r="K196" s="143">
        <f t="shared" si="18"/>
        <v>9.9999999999999995E-7</v>
      </c>
      <c r="L196" s="161" t="str">
        <f t="shared" si="19"/>
        <v xml:space="preserve"> </v>
      </c>
      <c r="M196" s="162">
        <f t="shared" si="20"/>
        <v>9.9999999999999995E-7</v>
      </c>
      <c r="N196" s="162"/>
      <c r="V196" s="143"/>
      <c r="W196" s="142"/>
      <c r="X196" s="142"/>
      <c r="Y196" s="142"/>
      <c r="Z196" s="142"/>
      <c r="AA196" s="142"/>
    </row>
    <row r="197" spans="2:27" s="141" customFormat="1" x14ac:dyDescent="0.2">
      <c r="B197" s="157">
        <v>37399</v>
      </c>
      <c r="C197" s="158">
        <v>143</v>
      </c>
      <c r="D197" s="159">
        <f>'JSM Eingabe+TW'!DA54</f>
        <v>9.9999999999999995E-7</v>
      </c>
      <c r="E197" s="159">
        <f t="shared" si="21"/>
        <v>0</v>
      </c>
      <c r="F197" s="163">
        <f t="shared" si="24"/>
        <v>9.9999999999999995E-7</v>
      </c>
      <c r="G197" s="160">
        <f t="shared" si="22"/>
        <v>1.1999999999999999E-6</v>
      </c>
      <c r="H197" s="160">
        <f t="shared" si="23"/>
        <v>0</v>
      </c>
      <c r="I197" s="160">
        <f>'JSM Eingabe+TW'!$K$18*3.6*24</f>
        <v>0</v>
      </c>
      <c r="J197" s="159">
        <f t="shared" si="17"/>
        <v>9.9999999999999995E-7</v>
      </c>
      <c r="K197" s="143">
        <f t="shared" si="18"/>
        <v>9.9999999999999995E-7</v>
      </c>
      <c r="L197" s="161" t="str">
        <f t="shared" si="19"/>
        <v xml:space="preserve"> </v>
      </c>
      <c r="M197" s="162">
        <f t="shared" si="20"/>
        <v>9.9999999999999995E-7</v>
      </c>
      <c r="N197" s="162"/>
      <c r="V197" s="143"/>
      <c r="W197" s="142"/>
      <c r="X197" s="142"/>
      <c r="Y197" s="142"/>
      <c r="Z197" s="142"/>
      <c r="AA197" s="142"/>
    </row>
    <row r="198" spans="2:27" s="141" customFormat="1" x14ac:dyDescent="0.2">
      <c r="B198" s="157">
        <v>37400</v>
      </c>
      <c r="C198" s="158">
        <v>144</v>
      </c>
      <c r="D198" s="159">
        <f>'JSM Eingabe+TW'!DA55</f>
        <v>9.9999999999999995E-7</v>
      </c>
      <c r="E198" s="159">
        <f t="shared" si="21"/>
        <v>0</v>
      </c>
      <c r="F198" s="163">
        <f t="shared" si="24"/>
        <v>9.9999999999999995E-7</v>
      </c>
      <c r="G198" s="160">
        <f t="shared" si="22"/>
        <v>1.1999999999999999E-6</v>
      </c>
      <c r="H198" s="160">
        <f t="shared" si="23"/>
        <v>0</v>
      </c>
      <c r="I198" s="160">
        <f>'JSM Eingabe+TW'!$K$18*3.6*24</f>
        <v>0</v>
      </c>
      <c r="J198" s="159">
        <f t="shared" si="17"/>
        <v>9.9999999999999995E-7</v>
      </c>
      <c r="K198" s="143">
        <f t="shared" si="18"/>
        <v>9.9999999999999995E-7</v>
      </c>
      <c r="L198" s="161" t="str">
        <f t="shared" si="19"/>
        <v xml:space="preserve"> </v>
      </c>
      <c r="M198" s="162">
        <f t="shared" si="20"/>
        <v>9.9999999999999995E-7</v>
      </c>
      <c r="N198" s="162"/>
      <c r="V198" s="143"/>
      <c r="W198" s="142"/>
      <c r="X198" s="142"/>
      <c r="Y198" s="142"/>
      <c r="Z198" s="142"/>
      <c r="AA198" s="142"/>
    </row>
    <row r="199" spans="2:27" s="141" customFormat="1" x14ac:dyDescent="0.2">
      <c r="B199" s="157">
        <v>37401</v>
      </c>
      <c r="C199" s="158">
        <v>145</v>
      </c>
      <c r="D199" s="159">
        <f>'JSM Eingabe+TW'!DA56</f>
        <v>9.9999999999999995E-7</v>
      </c>
      <c r="E199" s="159">
        <f t="shared" si="21"/>
        <v>0</v>
      </c>
      <c r="F199" s="163">
        <f t="shared" si="24"/>
        <v>9.9999999999999995E-7</v>
      </c>
      <c r="G199" s="160">
        <f t="shared" si="22"/>
        <v>1.1999999999999999E-6</v>
      </c>
      <c r="H199" s="160">
        <f t="shared" si="23"/>
        <v>0</v>
      </c>
      <c r="I199" s="160">
        <f>'JSM Eingabe+TW'!$K$18*3.6*24</f>
        <v>0</v>
      </c>
      <c r="J199" s="159">
        <f t="shared" si="17"/>
        <v>9.9999999999999995E-7</v>
      </c>
      <c r="K199" s="143">
        <f t="shared" si="18"/>
        <v>9.9999999999999995E-7</v>
      </c>
      <c r="L199" s="161" t="str">
        <f t="shared" si="19"/>
        <v xml:space="preserve"> </v>
      </c>
      <c r="M199" s="162">
        <f t="shared" si="20"/>
        <v>9.9999999999999995E-7</v>
      </c>
      <c r="N199" s="162"/>
      <c r="V199" s="143"/>
      <c r="W199" s="142"/>
      <c r="X199" s="142"/>
      <c r="Y199" s="142"/>
      <c r="Z199" s="142"/>
      <c r="AA199" s="142"/>
    </row>
    <row r="200" spans="2:27" s="141" customFormat="1" x14ac:dyDescent="0.2">
      <c r="B200" s="157">
        <v>37402</v>
      </c>
      <c r="C200" s="158">
        <v>146</v>
      </c>
      <c r="D200" s="159">
        <f>'JSM Eingabe+TW'!DA57</f>
        <v>9.9999999999999995E-7</v>
      </c>
      <c r="E200" s="159">
        <f t="shared" si="21"/>
        <v>0</v>
      </c>
      <c r="F200" s="163">
        <f t="shared" si="24"/>
        <v>9.9999999999999995E-7</v>
      </c>
      <c r="G200" s="160">
        <f t="shared" si="22"/>
        <v>1.1999999999999999E-6</v>
      </c>
      <c r="H200" s="160">
        <f t="shared" si="23"/>
        <v>0</v>
      </c>
      <c r="I200" s="160">
        <f>'JSM Eingabe+TW'!$K$18*3.6*24</f>
        <v>0</v>
      </c>
      <c r="J200" s="159">
        <f t="shared" si="17"/>
        <v>9.9999999999999995E-7</v>
      </c>
      <c r="K200" s="143">
        <f t="shared" si="18"/>
        <v>9.9999999999999995E-7</v>
      </c>
      <c r="L200" s="161" t="str">
        <f t="shared" si="19"/>
        <v xml:space="preserve"> </v>
      </c>
      <c r="M200" s="162">
        <f t="shared" si="20"/>
        <v>9.9999999999999995E-7</v>
      </c>
      <c r="N200" s="162"/>
      <c r="V200" s="143"/>
      <c r="W200" s="142"/>
      <c r="X200" s="142"/>
      <c r="Y200" s="142"/>
      <c r="Z200" s="142"/>
      <c r="AA200" s="142"/>
    </row>
    <row r="201" spans="2:27" s="141" customFormat="1" x14ac:dyDescent="0.2">
      <c r="B201" s="157">
        <v>37403</v>
      </c>
      <c r="C201" s="158">
        <v>147</v>
      </c>
      <c r="D201" s="159">
        <f>'JSM Eingabe+TW'!DA58</f>
        <v>9.9999999999999995E-7</v>
      </c>
      <c r="E201" s="159">
        <f t="shared" si="21"/>
        <v>0</v>
      </c>
      <c r="F201" s="163">
        <f t="shared" si="24"/>
        <v>9.9999999999999995E-7</v>
      </c>
      <c r="G201" s="160">
        <f t="shared" si="22"/>
        <v>1.1999999999999999E-6</v>
      </c>
      <c r="H201" s="160">
        <f t="shared" si="23"/>
        <v>0</v>
      </c>
      <c r="I201" s="160">
        <f>'JSM Eingabe+TW'!$K$18*3.6*24</f>
        <v>0</v>
      </c>
      <c r="J201" s="159">
        <f t="shared" si="17"/>
        <v>9.9999999999999995E-7</v>
      </c>
      <c r="K201" s="143">
        <f t="shared" si="18"/>
        <v>9.9999999999999995E-7</v>
      </c>
      <c r="L201" s="161" t="str">
        <f t="shared" si="19"/>
        <v xml:space="preserve"> </v>
      </c>
      <c r="M201" s="162">
        <f t="shared" si="20"/>
        <v>9.9999999999999995E-7</v>
      </c>
      <c r="N201" s="162"/>
      <c r="V201" s="143"/>
      <c r="W201" s="142"/>
      <c r="X201" s="142"/>
      <c r="Y201" s="142"/>
      <c r="Z201" s="142"/>
      <c r="AA201" s="142"/>
    </row>
    <row r="202" spans="2:27" s="141" customFormat="1" x14ac:dyDescent="0.2">
      <c r="B202" s="157">
        <v>37404</v>
      </c>
      <c r="C202" s="158">
        <v>148</v>
      </c>
      <c r="D202" s="159">
        <f>'JSM Eingabe+TW'!DA59</f>
        <v>9.9999999999999995E-7</v>
      </c>
      <c r="E202" s="159">
        <f t="shared" si="21"/>
        <v>0</v>
      </c>
      <c r="F202" s="163">
        <f t="shared" si="24"/>
        <v>9.9999999999999995E-7</v>
      </c>
      <c r="G202" s="160">
        <f t="shared" si="22"/>
        <v>1.1999999999999999E-6</v>
      </c>
      <c r="H202" s="160">
        <f t="shared" si="23"/>
        <v>0</v>
      </c>
      <c r="I202" s="160">
        <f>'JSM Eingabe+TW'!$K$18*3.6*24</f>
        <v>0</v>
      </c>
      <c r="J202" s="159">
        <f t="shared" si="17"/>
        <v>9.9999999999999995E-7</v>
      </c>
      <c r="K202" s="143">
        <f t="shared" si="18"/>
        <v>9.9999999999999995E-7</v>
      </c>
      <c r="L202" s="161" t="str">
        <f t="shared" si="19"/>
        <v xml:space="preserve"> </v>
      </c>
      <c r="M202" s="162">
        <f t="shared" si="20"/>
        <v>9.9999999999999995E-7</v>
      </c>
      <c r="N202" s="162"/>
      <c r="V202" s="143"/>
      <c r="W202" s="142"/>
      <c r="X202" s="142"/>
      <c r="Y202" s="142"/>
      <c r="Z202" s="142"/>
      <c r="AA202" s="142"/>
    </row>
    <row r="203" spans="2:27" s="141" customFormat="1" x14ac:dyDescent="0.2">
      <c r="B203" s="157">
        <v>37405</v>
      </c>
      <c r="C203" s="158">
        <v>149</v>
      </c>
      <c r="D203" s="159">
        <f>'JSM Eingabe+TW'!DA60</f>
        <v>9.9999999999999995E-7</v>
      </c>
      <c r="E203" s="159">
        <f t="shared" si="21"/>
        <v>0</v>
      </c>
      <c r="F203" s="163">
        <f t="shared" si="24"/>
        <v>9.9999999999999995E-7</v>
      </c>
      <c r="G203" s="160">
        <f t="shared" si="22"/>
        <v>1.1999999999999999E-6</v>
      </c>
      <c r="H203" s="160">
        <f t="shared" si="23"/>
        <v>0</v>
      </c>
      <c r="I203" s="160">
        <f>'JSM Eingabe+TW'!$K$18*3.6*24</f>
        <v>0</v>
      </c>
      <c r="J203" s="159">
        <f t="shared" si="17"/>
        <v>9.9999999999999995E-7</v>
      </c>
      <c r="K203" s="143">
        <f t="shared" si="18"/>
        <v>9.9999999999999995E-7</v>
      </c>
      <c r="L203" s="161" t="str">
        <f t="shared" si="19"/>
        <v xml:space="preserve"> </v>
      </c>
      <c r="M203" s="162">
        <f t="shared" si="20"/>
        <v>9.9999999999999995E-7</v>
      </c>
      <c r="N203" s="162"/>
      <c r="V203" s="143"/>
      <c r="W203" s="142"/>
      <c r="X203" s="142"/>
      <c r="Y203" s="142"/>
      <c r="Z203" s="142"/>
      <c r="AA203" s="142"/>
    </row>
    <row r="204" spans="2:27" s="141" customFormat="1" x14ac:dyDescent="0.2">
      <c r="B204" s="157">
        <v>37406</v>
      </c>
      <c r="C204" s="158">
        <v>150</v>
      </c>
      <c r="D204" s="159">
        <f>'JSM Eingabe+TW'!DA61</f>
        <v>9.9999999999999995E-7</v>
      </c>
      <c r="E204" s="159">
        <f t="shared" si="21"/>
        <v>0</v>
      </c>
      <c r="F204" s="163">
        <f t="shared" si="24"/>
        <v>9.9999999999999995E-7</v>
      </c>
      <c r="G204" s="160">
        <f t="shared" si="22"/>
        <v>1.1999999999999999E-6</v>
      </c>
      <c r="H204" s="160">
        <f t="shared" si="23"/>
        <v>0</v>
      </c>
      <c r="I204" s="160">
        <f>'JSM Eingabe+TW'!$K$18*3.6*24</f>
        <v>0</v>
      </c>
      <c r="J204" s="159">
        <f t="shared" si="17"/>
        <v>9.9999999999999995E-7</v>
      </c>
      <c r="K204" s="143">
        <f t="shared" si="18"/>
        <v>9.9999999999999995E-7</v>
      </c>
      <c r="L204" s="161" t="str">
        <f t="shared" si="19"/>
        <v xml:space="preserve"> </v>
      </c>
      <c r="M204" s="162">
        <f t="shared" si="20"/>
        <v>9.9999999999999995E-7</v>
      </c>
      <c r="N204" s="162"/>
      <c r="V204" s="143"/>
      <c r="W204" s="142"/>
      <c r="X204" s="142"/>
      <c r="Y204" s="142"/>
      <c r="Z204" s="142"/>
      <c r="AA204" s="142"/>
    </row>
    <row r="205" spans="2:27" s="141" customFormat="1" x14ac:dyDescent="0.2">
      <c r="B205" s="157">
        <v>37407</v>
      </c>
      <c r="C205" s="158">
        <v>151</v>
      </c>
      <c r="D205" s="159">
        <f>'JSM Eingabe+TW'!DA62</f>
        <v>9.9999999999999995E-7</v>
      </c>
      <c r="E205" s="159">
        <f t="shared" si="21"/>
        <v>0</v>
      </c>
      <c r="F205" s="163">
        <f t="shared" si="24"/>
        <v>9.9999999999999995E-7</v>
      </c>
      <c r="G205" s="160">
        <f t="shared" si="22"/>
        <v>1.1999999999999999E-6</v>
      </c>
      <c r="H205" s="160">
        <f t="shared" si="23"/>
        <v>0</v>
      </c>
      <c r="I205" s="160">
        <f>'JSM Eingabe+TW'!$K$18*3.6*24</f>
        <v>0</v>
      </c>
      <c r="J205" s="159">
        <f t="shared" si="17"/>
        <v>9.9999999999999995E-7</v>
      </c>
      <c r="K205" s="143">
        <f t="shared" si="18"/>
        <v>9.9999999999999995E-7</v>
      </c>
      <c r="L205" s="161" t="str">
        <f t="shared" si="19"/>
        <v xml:space="preserve"> </v>
      </c>
      <c r="M205" s="162">
        <f t="shared" si="20"/>
        <v>9.9999999999999995E-7</v>
      </c>
      <c r="N205" s="162"/>
      <c r="V205" s="143"/>
      <c r="W205" s="142"/>
      <c r="X205" s="142"/>
      <c r="Y205" s="142"/>
      <c r="Z205" s="142"/>
      <c r="AA205" s="142"/>
    </row>
    <row r="206" spans="2:27" s="141" customFormat="1" x14ac:dyDescent="0.2">
      <c r="B206" s="157">
        <v>37408</v>
      </c>
      <c r="C206" s="158">
        <v>152</v>
      </c>
      <c r="D206" s="159">
        <f>'JSM Eingabe+TW'!DB32</f>
        <v>9.9999999999999995E-7</v>
      </c>
      <c r="E206" s="159">
        <f t="shared" si="21"/>
        <v>0</v>
      </c>
      <c r="F206" s="163">
        <f t="shared" si="24"/>
        <v>9.9999999999999995E-7</v>
      </c>
      <c r="G206" s="160">
        <f t="shared" si="22"/>
        <v>1.1999999999999999E-6</v>
      </c>
      <c r="H206" s="160">
        <f t="shared" si="23"/>
        <v>0</v>
      </c>
      <c r="I206" s="160">
        <f>'JSM Eingabe+TW'!$K$18*3.6*24</f>
        <v>0</v>
      </c>
      <c r="J206" s="159">
        <f t="shared" si="17"/>
        <v>9.9999999999999995E-7</v>
      </c>
      <c r="K206" s="143">
        <f t="shared" si="18"/>
        <v>9.9999999999999995E-7</v>
      </c>
      <c r="L206" s="161" t="str">
        <f t="shared" si="19"/>
        <v xml:space="preserve"> </v>
      </c>
      <c r="M206" s="162">
        <f t="shared" si="20"/>
        <v>9.9999999999999995E-7</v>
      </c>
      <c r="N206" s="162"/>
      <c r="V206" s="143"/>
      <c r="W206" s="142"/>
      <c r="X206" s="142"/>
      <c r="Y206" s="142"/>
      <c r="Z206" s="142"/>
      <c r="AA206" s="142"/>
    </row>
    <row r="207" spans="2:27" s="141" customFormat="1" x14ac:dyDescent="0.2">
      <c r="B207" s="157">
        <v>37409</v>
      </c>
      <c r="C207" s="158">
        <v>153</v>
      </c>
      <c r="D207" s="159">
        <f>'JSM Eingabe+TW'!DB33</f>
        <v>9.9999999999999995E-7</v>
      </c>
      <c r="E207" s="159">
        <f t="shared" si="21"/>
        <v>0</v>
      </c>
      <c r="F207" s="163">
        <f t="shared" si="24"/>
        <v>9.9999999999999995E-7</v>
      </c>
      <c r="G207" s="160">
        <f t="shared" si="22"/>
        <v>1.1999999999999999E-6</v>
      </c>
      <c r="H207" s="160">
        <f t="shared" si="23"/>
        <v>0</v>
      </c>
      <c r="I207" s="160">
        <f>'JSM Eingabe+TW'!$K$18*3.6*24</f>
        <v>0</v>
      </c>
      <c r="J207" s="159">
        <f t="shared" si="17"/>
        <v>9.9999999999999995E-7</v>
      </c>
      <c r="K207" s="143">
        <f t="shared" si="18"/>
        <v>9.9999999999999995E-7</v>
      </c>
      <c r="L207" s="161" t="str">
        <f t="shared" si="19"/>
        <v xml:space="preserve"> </v>
      </c>
      <c r="M207" s="162">
        <f t="shared" si="20"/>
        <v>9.9999999999999995E-7</v>
      </c>
      <c r="N207" s="162"/>
      <c r="V207" s="143"/>
      <c r="W207" s="142"/>
      <c r="X207" s="142"/>
      <c r="Y207" s="142"/>
      <c r="Z207" s="142"/>
      <c r="AA207" s="142"/>
    </row>
    <row r="208" spans="2:27" s="141" customFormat="1" x14ac:dyDescent="0.2">
      <c r="B208" s="157">
        <v>37410</v>
      </c>
      <c r="C208" s="158">
        <v>154</v>
      </c>
      <c r="D208" s="159">
        <f>'JSM Eingabe+TW'!DB34</f>
        <v>9.9999999999999995E-7</v>
      </c>
      <c r="E208" s="159">
        <f t="shared" si="21"/>
        <v>0</v>
      </c>
      <c r="F208" s="163">
        <f t="shared" si="24"/>
        <v>9.9999999999999995E-7</v>
      </c>
      <c r="G208" s="160">
        <f t="shared" si="22"/>
        <v>1.1999999999999999E-6</v>
      </c>
      <c r="H208" s="160">
        <f t="shared" si="23"/>
        <v>0</v>
      </c>
      <c r="I208" s="160">
        <f>'JSM Eingabe+TW'!$K$18*3.6*24</f>
        <v>0</v>
      </c>
      <c r="J208" s="159">
        <f t="shared" si="17"/>
        <v>9.9999999999999995E-7</v>
      </c>
      <c r="K208" s="143">
        <f t="shared" si="18"/>
        <v>9.9999999999999995E-7</v>
      </c>
      <c r="L208" s="161" t="str">
        <f t="shared" si="19"/>
        <v xml:space="preserve"> </v>
      </c>
      <c r="M208" s="162">
        <f t="shared" si="20"/>
        <v>9.9999999999999995E-7</v>
      </c>
      <c r="N208" s="162"/>
      <c r="V208" s="143"/>
      <c r="W208" s="142"/>
      <c r="X208" s="142"/>
      <c r="Y208" s="142"/>
      <c r="Z208" s="142"/>
      <c r="AA208" s="142"/>
    </row>
    <row r="209" spans="2:27" s="141" customFormat="1" x14ac:dyDescent="0.2">
      <c r="B209" s="157">
        <v>37411</v>
      </c>
      <c r="C209" s="158">
        <v>155</v>
      </c>
      <c r="D209" s="159">
        <f>'JSM Eingabe+TW'!DB35</f>
        <v>9.9999999999999995E-7</v>
      </c>
      <c r="E209" s="159">
        <f t="shared" si="21"/>
        <v>0</v>
      </c>
      <c r="F209" s="163">
        <f t="shared" si="24"/>
        <v>9.9999999999999995E-7</v>
      </c>
      <c r="G209" s="160">
        <f t="shared" si="22"/>
        <v>1.1999999999999999E-6</v>
      </c>
      <c r="H209" s="160">
        <f t="shared" si="23"/>
        <v>0</v>
      </c>
      <c r="I209" s="160">
        <f>'JSM Eingabe+TW'!$K$18*3.6*24</f>
        <v>0</v>
      </c>
      <c r="J209" s="159">
        <f t="shared" si="17"/>
        <v>9.9999999999999995E-7</v>
      </c>
      <c r="K209" s="143">
        <f t="shared" si="18"/>
        <v>9.9999999999999995E-7</v>
      </c>
      <c r="L209" s="161" t="str">
        <f t="shared" si="19"/>
        <v xml:space="preserve"> </v>
      </c>
      <c r="M209" s="162">
        <f t="shared" si="20"/>
        <v>9.9999999999999995E-7</v>
      </c>
      <c r="N209" s="162"/>
      <c r="V209" s="143"/>
      <c r="W209" s="142"/>
      <c r="X209" s="142"/>
      <c r="Y209" s="142"/>
      <c r="Z209" s="142"/>
      <c r="AA209" s="142"/>
    </row>
    <row r="210" spans="2:27" s="141" customFormat="1" x14ac:dyDescent="0.2">
      <c r="B210" s="157">
        <v>37412</v>
      </c>
      <c r="C210" s="158">
        <v>156</v>
      </c>
      <c r="D210" s="159">
        <f>'JSM Eingabe+TW'!DB36</f>
        <v>9.9999999999999995E-7</v>
      </c>
      <c r="E210" s="159">
        <f t="shared" si="21"/>
        <v>0</v>
      </c>
      <c r="F210" s="163">
        <f t="shared" si="24"/>
        <v>9.9999999999999995E-7</v>
      </c>
      <c r="G210" s="160">
        <f t="shared" si="22"/>
        <v>1.1999999999999999E-6</v>
      </c>
      <c r="H210" s="160">
        <f t="shared" si="23"/>
        <v>0</v>
      </c>
      <c r="I210" s="160">
        <f>'JSM Eingabe+TW'!$K$18*3.6*24</f>
        <v>0</v>
      </c>
      <c r="J210" s="159">
        <f t="shared" si="17"/>
        <v>9.9999999999999995E-7</v>
      </c>
      <c r="K210" s="143">
        <f t="shared" si="18"/>
        <v>9.9999999999999995E-7</v>
      </c>
      <c r="L210" s="161" t="str">
        <f t="shared" si="19"/>
        <v xml:space="preserve"> </v>
      </c>
      <c r="M210" s="162">
        <f t="shared" si="20"/>
        <v>9.9999999999999995E-7</v>
      </c>
      <c r="N210" s="162"/>
      <c r="V210" s="143"/>
      <c r="W210" s="142"/>
      <c r="X210" s="142"/>
      <c r="Y210" s="142"/>
      <c r="Z210" s="142"/>
      <c r="AA210" s="142"/>
    </row>
    <row r="211" spans="2:27" s="141" customFormat="1" x14ac:dyDescent="0.2">
      <c r="B211" s="157">
        <v>37413</v>
      </c>
      <c r="C211" s="158">
        <v>157</v>
      </c>
      <c r="D211" s="159">
        <f>'JSM Eingabe+TW'!DB37</f>
        <v>9.9999999999999995E-7</v>
      </c>
      <c r="E211" s="159">
        <f t="shared" si="21"/>
        <v>0</v>
      </c>
      <c r="F211" s="163">
        <f t="shared" si="24"/>
        <v>9.9999999999999995E-7</v>
      </c>
      <c r="G211" s="160">
        <f t="shared" si="22"/>
        <v>1.1999999999999999E-6</v>
      </c>
      <c r="H211" s="160">
        <f t="shared" si="23"/>
        <v>0</v>
      </c>
      <c r="I211" s="160">
        <f>'JSM Eingabe+TW'!$K$18*3.6*24</f>
        <v>0</v>
      </c>
      <c r="J211" s="159">
        <f t="shared" si="17"/>
        <v>9.9999999999999995E-7</v>
      </c>
      <c r="K211" s="143">
        <f t="shared" si="18"/>
        <v>9.9999999999999995E-7</v>
      </c>
      <c r="L211" s="161" t="str">
        <f t="shared" si="19"/>
        <v xml:space="preserve"> </v>
      </c>
      <c r="M211" s="162">
        <f t="shared" si="20"/>
        <v>9.9999999999999995E-7</v>
      </c>
      <c r="N211" s="162"/>
      <c r="V211" s="143"/>
      <c r="W211" s="142"/>
      <c r="X211" s="142"/>
      <c r="Y211" s="142"/>
      <c r="Z211" s="142"/>
      <c r="AA211" s="142"/>
    </row>
    <row r="212" spans="2:27" s="141" customFormat="1" x14ac:dyDescent="0.2">
      <c r="B212" s="157">
        <v>37414</v>
      </c>
      <c r="C212" s="158">
        <v>158</v>
      </c>
      <c r="D212" s="159">
        <f>'JSM Eingabe+TW'!DB38</f>
        <v>9.9999999999999995E-7</v>
      </c>
      <c r="E212" s="159">
        <f t="shared" si="21"/>
        <v>0</v>
      </c>
      <c r="F212" s="163">
        <f t="shared" si="24"/>
        <v>9.9999999999999995E-7</v>
      </c>
      <c r="G212" s="160">
        <f t="shared" si="22"/>
        <v>1.1999999999999999E-6</v>
      </c>
      <c r="H212" s="160">
        <f t="shared" si="23"/>
        <v>0</v>
      </c>
      <c r="I212" s="160">
        <f>'JSM Eingabe+TW'!$K$18*3.6*24</f>
        <v>0</v>
      </c>
      <c r="J212" s="159">
        <f t="shared" si="17"/>
        <v>9.9999999999999995E-7</v>
      </c>
      <c r="K212" s="143">
        <f t="shared" si="18"/>
        <v>9.9999999999999995E-7</v>
      </c>
      <c r="L212" s="161" t="str">
        <f t="shared" si="19"/>
        <v xml:space="preserve"> </v>
      </c>
      <c r="M212" s="162">
        <f t="shared" si="20"/>
        <v>9.9999999999999995E-7</v>
      </c>
      <c r="N212" s="162"/>
      <c r="V212" s="143"/>
      <c r="W212" s="142"/>
      <c r="X212" s="142"/>
      <c r="Y212" s="142"/>
      <c r="Z212" s="142"/>
      <c r="AA212" s="142"/>
    </row>
    <row r="213" spans="2:27" s="141" customFormat="1" x14ac:dyDescent="0.2">
      <c r="B213" s="157">
        <v>37415</v>
      </c>
      <c r="C213" s="158">
        <v>159</v>
      </c>
      <c r="D213" s="159">
        <f>'JSM Eingabe+TW'!DB39</f>
        <v>9.9999999999999995E-7</v>
      </c>
      <c r="E213" s="159">
        <f t="shared" si="21"/>
        <v>0</v>
      </c>
      <c r="F213" s="163">
        <f t="shared" si="24"/>
        <v>9.9999999999999995E-7</v>
      </c>
      <c r="G213" s="160">
        <f t="shared" si="22"/>
        <v>1.1999999999999999E-6</v>
      </c>
      <c r="H213" s="160">
        <f t="shared" si="23"/>
        <v>0</v>
      </c>
      <c r="I213" s="160">
        <f>'JSM Eingabe+TW'!$K$18*3.6*24</f>
        <v>0</v>
      </c>
      <c r="J213" s="159">
        <f t="shared" si="17"/>
        <v>9.9999999999999995E-7</v>
      </c>
      <c r="K213" s="143">
        <f t="shared" si="18"/>
        <v>9.9999999999999995E-7</v>
      </c>
      <c r="L213" s="161" t="str">
        <f t="shared" si="19"/>
        <v xml:space="preserve"> </v>
      </c>
      <c r="M213" s="162">
        <f t="shared" si="20"/>
        <v>9.9999999999999995E-7</v>
      </c>
      <c r="N213" s="162"/>
      <c r="V213" s="143"/>
      <c r="W213" s="142"/>
      <c r="X213" s="142"/>
      <c r="Y213" s="142"/>
      <c r="Z213" s="142"/>
      <c r="AA213" s="142"/>
    </row>
    <row r="214" spans="2:27" s="141" customFormat="1" x14ac:dyDescent="0.2">
      <c r="B214" s="157">
        <v>37416</v>
      </c>
      <c r="C214" s="158">
        <v>160</v>
      </c>
      <c r="D214" s="159">
        <f>'JSM Eingabe+TW'!DB40</f>
        <v>9.9999999999999995E-7</v>
      </c>
      <c r="E214" s="159">
        <f t="shared" si="21"/>
        <v>0</v>
      </c>
      <c r="F214" s="163">
        <f t="shared" si="24"/>
        <v>9.9999999999999995E-7</v>
      </c>
      <c r="G214" s="160">
        <f t="shared" si="22"/>
        <v>1.1999999999999999E-6</v>
      </c>
      <c r="H214" s="160">
        <f t="shared" si="23"/>
        <v>0</v>
      </c>
      <c r="I214" s="160">
        <f>'JSM Eingabe+TW'!$K$18*3.6*24</f>
        <v>0</v>
      </c>
      <c r="J214" s="159">
        <f t="shared" si="17"/>
        <v>9.9999999999999995E-7</v>
      </c>
      <c r="K214" s="143">
        <f t="shared" si="18"/>
        <v>9.9999999999999995E-7</v>
      </c>
      <c r="L214" s="161" t="str">
        <f t="shared" si="19"/>
        <v xml:space="preserve"> </v>
      </c>
      <c r="M214" s="162">
        <f t="shared" si="20"/>
        <v>9.9999999999999995E-7</v>
      </c>
      <c r="N214" s="162"/>
      <c r="V214" s="143"/>
      <c r="W214" s="142"/>
      <c r="X214" s="142"/>
      <c r="Y214" s="142"/>
      <c r="Z214" s="142"/>
      <c r="AA214" s="142"/>
    </row>
    <row r="215" spans="2:27" s="141" customFormat="1" x14ac:dyDescent="0.2">
      <c r="B215" s="157">
        <v>37417</v>
      </c>
      <c r="C215" s="158">
        <v>161</v>
      </c>
      <c r="D215" s="159">
        <f>'JSM Eingabe+TW'!DB41</f>
        <v>9.9999999999999995E-7</v>
      </c>
      <c r="E215" s="159">
        <f t="shared" si="21"/>
        <v>0</v>
      </c>
      <c r="F215" s="163">
        <f t="shared" si="24"/>
        <v>9.9999999999999995E-7</v>
      </c>
      <c r="G215" s="160">
        <f t="shared" si="22"/>
        <v>1.1999999999999999E-6</v>
      </c>
      <c r="H215" s="160">
        <f t="shared" si="23"/>
        <v>0</v>
      </c>
      <c r="I215" s="160">
        <f>'JSM Eingabe+TW'!$K$18*3.6*24</f>
        <v>0</v>
      </c>
      <c r="J215" s="159">
        <f t="shared" si="17"/>
        <v>9.9999999999999995E-7</v>
      </c>
      <c r="K215" s="143">
        <f t="shared" si="18"/>
        <v>9.9999999999999995E-7</v>
      </c>
      <c r="L215" s="161" t="str">
        <f t="shared" si="19"/>
        <v xml:space="preserve"> </v>
      </c>
      <c r="M215" s="162">
        <f t="shared" si="20"/>
        <v>9.9999999999999995E-7</v>
      </c>
      <c r="N215" s="162"/>
      <c r="V215" s="143"/>
      <c r="W215" s="142"/>
      <c r="X215" s="142"/>
      <c r="Y215" s="142"/>
      <c r="Z215" s="142"/>
      <c r="AA215" s="142"/>
    </row>
    <row r="216" spans="2:27" s="141" customFormat="1" x14ac:dyDescent="0.2">
      <c r="B216" s="157">
        <v>37418</v>
      </c>
      <c r="C216" s="158">
        <v>162</v>
      </c>
      <c r="D216" s="159">
        <f>'JSM Eingabe+TW'!DB42</f>
        <v>9.9999999999999995E-7</v>
      </c>
      <c r="E216" s="159">
        <f t="shared" si="21"/>
        <v>0</v>
      </c>
      <c r="F216" s="163">
        <f t="shared" si="24"/>
        <v>9.9999999999999995E-7</v>
      </c>
      <c r="G216" s="160">
        <f t="shared" si="22"/>
        <v>1.1999999999999999E-6</v>
      </c>
      <c r="H216" s="160">
        <f t="shared" si="23"/>
        <v>0</v>
      </c>
      <c r="I216" s="160">
        <f>'JSM Eingabe+TW'!$K$18*3.6*24</f>
        <v>0</v>
      </c>
      <c r="J216" s="159">
        <f t="shared" si="17"/>
        <v>9.9999999999999995E-7</v>
      </c>
      <c r="K216" s="143">
        <f t="shared" si="18"/>
        <v>9.9999999999999995E-7</v>
      </c>
      <c r="L216" s="161" t="str">
        <f t="shared" si="19"/>
        <v xml:space="preserve"> </v>
      </c>
      <c r="M216" s="162">
        <f t="shared" si="20"/>
        <v>9.9999999999999995E-7</v>
      </c>
      <c r="N216" s="162"/>
      <c r="V216" s="143"/>
      <c r="W216" s="142"/>
      <c r="X216" s="142"/>
      <c r="Y216" s="142"/>
      <c r="Z216" s="142"/>
      <c r="AA216" s="142"/>
    </row>
    <row r="217" spans="2:27" s="141" customFormat="1" x14ac:dyDescent="0.2">
      <c r="B217" s="157">
        <v>37419</v>
      </c>
      <c r="C217" s="158">
        <v>163</v>
      </c>
      <c r="D217" s="159">
        <f>'JSM Eingabe+TW'!DB43</f>
        <v>9.9999999999999995E-7</v>
      </c>
      <c r="E217" s="159">
        <f t="shared" si="21"/>
        <v>0</v>
      </c>
      <c r="F217" s="163">
        <f t="shared" si="24"/>
        <v>9.9999999999999995E-7</v>
      </c>
      <c r="G217" s="160">
        <f t="shared" si="22"/>
        <v>1.1999999999999999E-6</v>
      </c>
      <c r="H217" s="160">
        <f t="shared" si="23"/>
        <v>0</v>
      </c>
      <c r="I217" s="160">
        <f>'JSM Eingabe+TW'!$K$18*3.6*24</f>
        <v>0</v>
      </c>
      <c r="J217" s="159">
        <f t="shared" si="17"/>
        <v>9.9999999999999995E-7</v>
      </c>
      <c r="K217" s="143">
        <f t="shared" si="18"/>
        <v>9.9999999999999995E-7</v>
      </c>
      <c r="L217" s="161" t="str">
        <f t="shared" si="19"/>
        <v xml:space="preserve"> </v>
      </c>
      <c r="M217" s="162">
        <f t="shared" si="20"/>
        <v>9.9999999999999995E-7</v>
      </c>
      <c r="N217" s="162"/>
      <c r="V217" s="143"/>
      <c r="W217" s="142"/>
      <c r="X217" s="142"/>
      <c r="Y217" s="142"/>
      <c r="Z217" s="142"/>
      <c r="AA217" s="142"/>
    </row>
    <row r="218" spans="2:27" s="141" customFormat="1" x14ac:dyDescent="0.2">
      <c r="B218" s="157">
        <v>37420</v>
      </c>
      <c r="C218" s="158">
        <v>164</v>
      </c>
      <c r="D218" s="159">
        <f>'JSM Eingabe+TW'!DB44</f>
        <v>9.9999999999999995E-7</v>
      </c>
      <c r="E218" s="159">
        <f t="shared" si="21"/>
        <v>0</v>
      </c>
      <c r="F218" s="163">
        <f t="shared" si="24"/>
        <v>9.9999999999999995E-7</v>
      </c>
      <c r="G218" s="160">
        <f t="shared" si="22"/>
        <v>1.1999999999999999E-6</v>
      </c>
      <c r="H218" s="160">
        <f t="shared" si="23"/>
        <v>0</v>
      </c>
      <c r="I218" s="160">
        <f>'JSM Eingabe+TW'!$K$18*3.6*24</f>
        <v>0</v>
      </c>
      <c r="J218" s="159">
        <f t="shared" si="17"/>
        <v>9.9999999999999995E-7</v>
      </c>
      <c r="K218" s="143">
        <f t="shared" si="18"/>
        <v>9.9999999999999995E-7</v>
      </c>
      <c r="L218" s="161" t="str">
        <f t="shared" si="19"/>
        <v xml:space="preserve"> </v>
      </c>
      <c r="M218" s="162">
        <f t="shared" si="20"/>
        <v>9.9999999999999995E-7</v>
      </c>
      <c r="N218" s="162"/>
      <c r="V218" s="143"/>
      <c r="W218" s="142"/>
      <c r="X218" s="142"/>
      <c r="Y218" s="142"/>
      <c r="Z218" s="142"/>
      <c r="AA218" s="142"/>
    </row>
    <row r="219" spans="2:27" s="141" customFormat="1" x14ac:dyDescent="0.2">
      <c r="B219" s="157">
        <v>37421</v>
      </c>
      <c r="C219" s="158">
        <v>165</v>
      </c>
      <c r="D219" s="159">
        <f>'JSM Eingabe+TW'!DB45</f>
        <v>9.9999999999999995E-7</v>
      </c>
      <c r="E219" s="159">
        <f t="shared" si="21"/>
        <v>0</v>
      </c>
      <c r="F219" s="163">
        <f t="shared" si="24"/>
        <v>9.9999999999999995E-7</v>
      </c>
      <c r="G219" s="160">
        <f t="shared" si="22"/>
        <v>1.1999999999999999E-6</v>
      </c>
      <c r="H219" s="160">
        <f t="shared" si="23"/>
        <v>0</v>
      </c>
      <c r="I219" s="160">
        <f>'JSM Eingabe+TW'!$K$18*3.6*24</f>
        <v>0</v>
      </c>
      <c r="J219" s="159">
        <f t="shared" si="17"/>
        <v>9.9999999999999995E-7</v>
      </c>
      <c r="K219" s="143">
        <f t="shared" si="18"/>
        <v>9.9999999999999995E-7</v>
      </c>
      <c r="L219" s="161" t="str">
        <f t="shared" si="19"/>
        <v xml:space="preserve"> </v>
      </c>
      <c r="M219" s="162">
        <f t="shared" si="20"/>
        <v>9.9999999999999995E-7</v>
      </c>
      <c r="N219" s="162"/>
      <c r="V219" s="143"/>
      <c r="W219" s="142"/>
      <c r="X219" s="142"/>
      <c r="Y219" s="142"/>
      <c r="Z219" s="142"/>
      <c r="AA219" s="142"/>
    </row>
    <row r="220" spans="2:27" s="141" customFormat="1" x14ac:dyDescent="0.2">
      <c r="B220" s="157">
        <v>37422</v>
      </c>
      <c r="C220" s="158">
        <v>166</v>
      </c>
      <c r="D220" s="159">
        <f>'JSM Eingabe+TW'!DB46</f>
        <v>9.9999999999999995E-7</v>
      </c>
      <c r="E220" s="159">
        <f t="shared" si="21"/>
        <v>0</v>
      </c>
      <c r="F220" s="163">
        <f t="shared" si="24"/>
        <v>9.9999999999999995E-7</v>
      </c>
      <c r="G220" s="160">
        <f t="shared" si="22"/>
        <v>1.1999999999999999E-6</v>
      </c>
      <c r="H220" s="160">
        <f t="shared" si="23"/>
        <v>0</v>
      </c>
      <c r="I220" s="160">
        <f>'JSM Eingabe+TW'!$K$18*3.6*24</f>
        <v>0</v>
      </c>
      <c r="J220" s="159">
        <f t="shared" si="17"/>
        <v>9.9999999999999995E-7</v>
      </c>
      <c r="K220" s="143">
        <f t="shared" si="18"/>
        <v>9.9999999999999995E-7</v>
      </c>
      <c r="L220" s="161" t="str">
        <f t="shared" si="19"/>
        <v xml:space="preserve"> </v>
      </c>
      <c r="M220" s="162">
        <f t="shared" si="20"/>
        <v>9.9999999999999995E-7</v>
      </c>
      <c r="N220" s="162"/>
      <c r="V220" s="143"/>
      <c r="W220" s="142"/>
      <c r="X220" s="142"/>
      <c r="Y220" s="142"/>
      <c r="Z220" s="142"/>
      <c r="AA220" s="142"/>
    </row>
    <row r="221" spans="2:27" s="141" customFormat="1" x14ac:dyDescent="0.2">
      <c r="B221" s="157">
        <v>37423</v>
      </c>
      <c r="C221" s="158">
        <v>167</v>
      </c>
      <c r="D221" s="159">
        <f>'JSM Eingabe+TW'!DB47</f>
        <v>9.9999999999999995E-7</v>
      </c>
      <c r="E221" s="159">
        <f t="shared" si="21"/>
        <v>0</v>
      </c>
      <c r="F221" s="163">
        <f t="shared" si="24"/>
        <v>9.9999999999999995E-7</v>
      </c>
      <c r="G221" s="160">
        <f t="shared" si="22"/>
        <v>1.1999999999999999E-6</v>
      </c>
      <c r="H221" s="160">
        <f t="shared" si="23"/>
        <v>0</v>
      </c>
      <c r="I221" s="160">
        <f>'JSM Eingabe+TW'!$K$18*3.6*24</f>
        <v>0</v>
      </c>
      <c r="J221" s="159">
        <f t="shared" si="17"/>
        <v>9.9999999999999995E-7</v>
      </c>
      <c r="K221" s="143">
        <f t="shared" si="18"/>
        <v>9.9999999999999995E-7</v>
      </c>
      <c r="L221" s="161" t="str">
        <f t="shared" si="19"/>
        <v xml:space="preserve"> </v>
      </c>
      <c r="M221" s="162">
        <f t="shared" si="20"/>
        <v>9.9999999999999995E-7</v>
      </c>
      <c r="N221" s="162"/>
      <c r="V221" s="143"/>
      <c r="W221" s="142"/>
      <c r="X221" s="142"/>
      <c r="Y221" s="142"/>
      <c r="Z221" s="142"/>
      <c r="AA221" s="142"/>
    </row>
    <row r="222" spans="2:27" s="141" customFormat="1" x14ac:dyDescent="0.2">
      <c r="B222" s="157">
        <v>37424</v>
      </c>
      <c r="C222" s="158">
        <v>168</v>
      </c>
      <c r="D222" s="159">
        <f>'JSM Eingabe+TW'!DB48</f>
        <v>9.9999999999999995E-7</v>
      </c>
      <c r="E222" s="159">
        <f t="shared" si="21"/>
        <v>0</v>
      </c>
      <c r="F222" s="163">
        <f t="shared" si="24"/>
        <v>9.9999999999999995E-7</v>
      </c>
      <c r="G222" s="160">
        <f t="shared" si="22"/>
        <v>1.1999999999999999E-6</v>
      </c>
      <c r="H222" s="160">
        <f t="shared" si="23"/>
        <v>0</v>
      </c>
      <c r="I222" s="160">
        <f>'JSM Eingabe+TW'!$K$18*3.6*24</f>
        <v>0</v>
      </c>
      <c r="J222" s="159">
        <f t="shared" si="17"/>
        <v>9.9999999999999995E-7</v>
      </c>
      <c r="K222" s="143">
        <f t="shared" si="18"/>
        <v>9.9999999999999995E-7</v>
      </c>
      <c r="L222" s="161" t="str">
        <f t="shared" si="19"/>
        <v xml:space="preserve"> </v>
      </c>
      <c r="M222" s="162">
        <f t="shared" si="20"/>
        <v>9.9999999999999995E-7</v>
      </c>
      <c r="N222" s="162"/>
      <c r="V222" s="143"/>
      <c r="W222" s="142"/>
      <c r="X222" s="142"/>
      <c r="Y222" s="142"/>
      <c r="Z222" s="142"/>
      <c r="AA222" s="142"/>
    </row>
    <row r="223" spans="2:27" s="141" customFormat="1" x14ac:dyDescent="0.2">
      <c r="B223" s="157">
        <v>37425</v>
      </c>
      <c r="C223" s="158">
        <v>169</v>
      </c>
      <c r="D223" s="159">
        <f>'JSM Eingabe+TW'!DB49</f>
        <v>9.9999999999999995E-7</v>
      </c>
      <c r="E223" s="159">
        <f t="shared" si="21"/>
        <v>0</v>
      </c>
      <c r="F223" s="163">
        <f t="shared" si="24"/>
        <v>9.9999999999999995E-7</v>
      </c>
      <c r="G223" s="160">
        <f t="shared" si="22"/>
        <v>1.1999999999999999E-6</v>
      </c>
      <c r="H223" s="160">
        <f t="shared" si="23"/>
        <v>0</v>
      </c>
      <c r="I223" s="160">
        <f>'JSM Eingabe+TW'!$K$18*3.6*24</f>
        <v>0</v>
      </c>
      <c r="J223" s="159">
        <f t="shared" si="17"/>
        <v>9.9999999999999995E-7</v>
      </c>
      <c r="K223" s="143">
        <f t="shared" si="18"/>
        <v>9.9999999999999995E-7</v>
      </c>
      <c r="L223" s="161" t="str">
        <f t="shared" si="19"/>
        <v xml:space="preserve"> </v>
      </c>
      <c r="M223" s="162">
        <f t="shared" si="20"/>
        <v>9.9999999999999995E-7</v>
      </c>
      <c r="N223" s="162"/>
      <c r="V223" s="143"/>
      <c r="W223" s="142"/>
      <c r="X223" s="142"/>
      <c r="Y223" s="142"/>
      <c r="Z223" s="142"/>
      <c r="AA223" s="142"/>
    </row>
    <row r="224" spans="2:27" s="141" customFormat="1" x14ac:dyDescent="0.2">
      <c r="B224" s="157">
        <v>37426</v>
      </c>
      <c r="C224" s="158">
        <v>170</v>
      </c>
      <c r="D224" s="159">
        <f>'JSM Eingabe+TW'!DB50</f>
        <v>9.9999999999999995E-7</v>
      </c>
      <c r="E224" s="159">
        <f t="shared" si="21"/>
        <v>0</v>
      </c>
      <c r="F224" s="163">
        <f t="shared" si="24"/>
        <v>9.9999999999999995E-7</v>
      </c>
      <c r="G224" s="160">
        <f t="shared" si="22"/>
        <v>1.1999999999999999E-6</v>
      </c>
      <c r="H224" s="160">
        <f t="shared" si="23"/>
        <v>0</v>
      </c>
      <c r="I224" s="160">
        <f>'JSM Eingabe+TW'!$K$18*3.6*24</f>
        <v>0</v>
      </c>
      <c r="J224" s="159">
        <f t="shared" si="17"/>
        <v>9.9999999999999995E-7</v>
      </c>
      <c r="K224" s="143">
        <f t="shared" si="18"/>
        <v>9.9999999999999995E-7</v>
      </c>
      <c r="L224" s="161" t="str">
        <f t="shared" si="19"/>
        <v xml:space="preserve"> </v>
      </c>
      <c r="M224" s="162">
        <f t="shared" si="20"/>
        <v>9.9999999999999995E-7</v>
      </c>
      <c r="N224" s="162"/>
      <c r="V224" s="143"/>
      <c r="W224" s="142"/>
      <c r="X224" s="142"/>
      <c r="Y224" s="142"/>
      <c r="Z224" s="142"/>
      <c r="AA224" s="142"/>
    </row>
    <row r="225" spans="2:27" s="141" customFormat="1" x14ac:dyDescent="0.2">
      <c r="B225" s="157">
        <v>37427</v>
      </c>
      <c r="C225" s="158">
        <v>171</v>
      </c>
      <c r="D225" s="159">
        <f>'JSM Eingabe+TW'!DB51</f>
        <v>9.9999999999999995E-7</v>
      </c>
      <c r="E225" s="159">
        <f t="shared" si="21"/>
        <v>0</v>
      </c>
      <c r="F225" s="163">
        <f t="shared" si="24"/>
        <v>9.9999999999999995E-7</v>
      </c>
      <c r="G225" s="160">
        <f t="shared" si="22"/>
        <v>1.1999999999999999E-6</v>
      </c>
      <c r="H225" s="160">
        <f t="shared" si="23"/>
        <v>0</v>
      </c>
      <c r="I225" s="160">
        <f>'JSM Eingabe+TW'!$K$18*3.6*24</f>
        <v>0</v>
      </c>
      <c r="J225" s="159">
        <f t="shared" si="17"/>
        <v>9.9999999999999995E-7</v>
      </c>
      <c r="K225" s="143">
        <f t="shared" si="18"/>
        <v>9.9999999999999995E-7</v>
      </c>
      <c r="L225" s="161" t="str">
        <f t="shared" si="19"/>
        <v xml:space="preserve"> </v>
      </c>
      <c r="M225" s="162">
        <f t="shared" si="20"/>
        <v>9.9999999999999995E-7</v>
      </c>
      <c r="N225" s="162"/>
      <c r="V225" s="143"/>
      <c r="W225" s="142"/>
      <c r="X225" s="142"/>
      <c r="Y225" s="142"/>
      <c r="Z225" s="142"/>
      <c r="AA225" s="142"/>
    </row>
    <row r="226" spans="2:27" s="141" customFormat="1" x14ac:dyDescent="0.2">
      <c r="B226" s="157">
        <v>37428</v>
      </c>
      <c r="C226" s="158">
        <v>172</v>
      </c>
      <c r="D226" s="159">
        <f>'JSM Eingabe+TW'!DB52</f>
        <v>9.9999999999999995E-7</v>
      </c>
      <c r="E226" s="159">
        <f t="shared" si="21"/>
        <v>0</v>
      </c>
      <c r="F226" s="163">
        <f t="shared" si="24"/>
        <v>9.9999999999999995E-7</v>
      </c>
      <c r="G226" s="160">
        <f t="shared" si="22"/>
        <v>1.1999999999999999E-6</v>
      </c>
      <c r="H226" s="160">
        <f t="shared" si="23"/>
        <v>0</v>
      </c>
      <c r="I226" s="160">
        <f>'JSM Eingabe+TW'!$K$18*3.6*24</f>
        <v>0</v>
      </c>
      <c r="J226" s="159">
        <f t="shared" si="17"/>
        <v>9.9999999999999995E-7</v>
      </c>
      <c r="K226" s="143">
        <f t="shared" si="18"/>
        <v>9.9999999999999995E-7</v>
      </c>
      <c r="L226" s="161" t="str">
        <f t="shared" si="19"/>
        <v xml:space="preserve"> </v>
      </c>
      <c r="M226" s="162">
        <f t="shared" si="20"/>
        <v>9.9999999999999995E-7</v>
      </c>
      <c r="N226" s="162"/>
      <c r="V226" s="143"/>
      <c r="W226" s="142"/>
      <c r="X226" s="142"/>
      <c r="Y226" s="142"/>
      <c r="Z226" s="142"/>
      <c r="AA226" s="142"/>
    </row>
    <row r="227" spans="2:27" s="141" customFormat="1" x14ac:dyDescent="0.2">
      <c r="B227" s="157">
        <v>37429</v>
      </c>
      <c r="C227" s="158">
        <v>173</v>
      </c>
      <c r="D227" s="159">
        <f>'JSM Eingabe+TW'!DB53</f>
        <v>9.9999999999999995E-7</v>
      </c>
      <c r="E227" s="159">
        <f t="shared" si="21"/>
        <v>0</v>
      </c>
      <c r="F227" s="163">
        <f t="shared" si="24"/>
        <v>9.9999999999999995E-7</v>
      </c>
      <c r="G227" s="160">
        <f t="shared" si="22"/>
        <v>1.1999999999999999E-6</v>
      </c>
      <c r="H227" s="160">
        <f t="shared" si="23"/>
        <v>0</v>
      </c>
      <c r="I227" s="160">
        <f>'JSM Eingabe+TW'!$K$18*3.6*24</f>
        <v>0</v>
      </c>
      <c r="J227" s="159">
        <f t="shared" si="17"/>
        <v>9.9999999999999995E-7</v>
      </c>
      <c r="K227" s="143">
        <f t="shared" si="18"/>
        <v>9.9999999999999995E-7</v>
      </c>
      <c r="L227" s="161" t="str">
        <f t="shared" si="19"/>
        <v xml:space="preserve"> </v>
      </c>
      <c r="M227" s="162">
        <f t="shared" si="20"/>
        <v>9.9999999999999995E-7</v>
      </c>
      <c r="N227" s="162"/>
      <c r="V227" s="143"/>
      <c r="W227" s="142"/>
      <c r="X227" s="142"/>
      <c r="Y227" s="142"/>
      <c r="Z227" s="142"/>
      <c r="AA227" s="142"/>
    </row>
    <row r="228" spans="2:27" s="141" customFormat="1" x14ac:dyDescent="0.2">
      <c r="B228" s="157">
        <v>37430</v>
      </c>
      <c r="C228" s="158">
        <v>174</v>
      </c>
      <c r="D228" s="159">
        <f>'JSM Eingabe+TW'!DB54</f>
        <v>9.9999999999999995E-7</v>
      </c>
      <c r="E228" s="159">
        <f t="shared" si="21"/>
        <v>0</v>
      </c>
      <c r="F228" s="163">
        <f t="shared" si="24"/>
        <v>9.9999999999999995E-7</v>
      </c>
      <c r="G228" s="160">
        <f t="shared" si="22"/>
        <v>1.1999999999999999E-6</v>
      </c>
      <c r="H228" s="160">
        <f t="shared" si="23"/>
        <v>0</v>
      </c>
      <c r="I228" s="160">
        <f>'JSM Eingabe+TW'!$K$18*3.6*24</f>
        <v>0</v>
      </c>
      <c r="J228" s="159">
        <f t="shared" si="17"/>
        <v>9.9999999999999995E-7</v>
      </c>
      <c r="K228" s="143">
        <f t="shared" si="18"/>
        <v>9.9999999999999995E-7</v>
      </c>
      <c r="L228" s="161" t="str">
        <f t="shared" si="19"/>
        <v xml:space="preserve"> </v>
      </c>
      <c r="M228" s="162">
        <f t="shared" si="20"/>
        <v>9.9999999999999995E-7</v>
      </c>
      <c r="N228" s="162"/>
      <c r="V228" s="143"/>
      <c r="W228" s="142"/>
      <c r="X228" s="142"/>
      <c r="Y228" s="142"/>
      <c r="Z228" s="142"/>
      <c r="AA228" s="142"/>
    </row>
    <row r="229" spans="2:27" s="141" customFormat="1" x14ac:dyDescent="0.2">
      <c r="B229" s="157">
        <v>37431</v>
      </c>
      <c r="C229" s="158">
        <v>175</v>
      </c>
      <c r="D229" s="159">
        <f>'JSM Eingabe+TW'!DB55</f>
        <v>9.9999999999999995E-7</v>
      </c>
      <c r="E229" s="159">
        <f t="shared" si="21"/>
        <v>0</v>
      </c>
      <c r="F229" s="163">
        <f t="shared" si="24"/>
        <v>9.9999999999999995E-7</v>
      </c>
      <c r="G229" s="160">
        <f t="shared" si="22"/>
        <v>1.1999999999999999E-6</v>
      </c>
      <c r="H229" s="160">
        <f t="shared" si="23"/>
        <v>0</v>
      </c>
      <c r="I229" s="160">
        <f>'JSM Eingabe+TW'!$K$18*3.6*24</f>
        <v>0</v>
      </c>
      <c r="J229" s="159">
        <f t="shared" si="17"/>
        <v>9.9999999999999995E-7</v>
      </c>
      <c r="K229" s="143">
        <f t="shared" si="18"/>
        <v>9.9999999999999995E-7</v>
      </c>
      <c r="L229" s="161" t="str">
        <f t="shared" si="19"/>
        <v xml:space="preserve"> </v>
      </c>
      <c r="M229" s="162">
        <f t="shared" si="20"/>
        <v>9.9999999999999995E-7</v>
      </c>
      <c r="N229" s="162"/>
      <c r="V229" s="143"/>
      <c r="W229" s="142"/>
      <c r="X229" s="142"/>
      <c r="Y229" s="142"/>
      <c r="Z229" s="142"/>
      <c r="AA229" s="142"/>
    </row>
    <row r="230" spans="2:27" s="141" customFormat="1" x14ac:dyDescent="0.2">
      <c r="B230" s="157">
        <v>37432</v>
      </c>
      <c r="C230" s="158">
        <v>176</v>
      </c>
      <c r="D230" s="159">
        <f>'JSM Eingabe+TW'!DB56</f>
        <v>9.9999999999999995E-7</v>
      </c>
      <c r="E230" s="159">
        <f t="shared" si="21"/>
        <v>0</v>
      </c>
      <c r="F230" s="163">
        <f t="shared" si="24"/>
        <v>9.9999999999999995E-7</v>
      </c>
      <c r="G230" s="160">
        <f t="shared" si="22"/>
        <v>1.1999999999999999E-6</v>
      </c>
      <c r="H230" s="160">
        <f t="shared" si="23"/>
        <v>0</v>
      </c>
      <c r="I230" s="160">
        <f>'JSM Eingabe+TW'!$K$18*3.6*24</f>
        <v>0</v>
      </c>
      <c r="J230" s="159">
        <f t="shared" si="17"/>
        <v>9.9999999999999995E-7</v>
      </c>
      <c r="K230" s="143">
        <f t="shared" si="18"/>
        <v>9.9999999999999995E-7</v>
      </c>
      <c r="L230" s="161" t="str">
        <f t="shared" si="19"/>
        <v xml:space="preserve"> </v>
      </c>
      <c r="M230" s="162">
        <f t="shared" si="20"/>
        <v>9.9999999999999995E-7</v>
      </c>
      <c r="N230" s="162"/>
      <c r="V230" s="143"/>
      <c r="W230" s="142"/>
      <c r="X230" s="142"/>
      <c r="Y230" s="142"/>
      <c r="Z230" s="142"/>
      <c r="AA230" s="142"/>
    </row>
    <row r="231" spans="2:27" s="141" customFormat="1" x14ac:dyDescent="0.2">
      <c r="B231" s="157">
        <v>37433</v>
      </c>
      <c r="C231" s="158">
        <v>177</v>
      </c>
      <c r="D231" s="159">
        <f>'JSM Eingabe+TW'!DB57</f>
        <v>9.9999999999999995E-7</v>
      </c>
      <c r="E231" s="159">
        <f t="shared" si="21"/>
        <v>0</v>
      </c>
      <c r="F231" s="163">
        <f t="shared" si="24"/>
        <v>9.9999999999999995E-7</v>
      </c>
      <c r="G231" s="160">
        <f t="shared" si="22"/>
        <v>1.1999999999999999E-6</v>
      </c>
      <c r="H231" s="160">
        <f t="shared" si="23"/>
        <v>0</v>
      </c>
      <c r="I231" s="160">
        <f>'JSM Eingabe+TW'!$K$18*3.6*24</f>
        <v>0</v>
      </c>
      <c r="J231" s="159">
        <f t="shared" si="17"/>
        <v>9.9999999999999995E-7</v>
      </c>
      <c r="K231" s="143">
        <f t="shared" si="18"/>
        <v>9.9999999999999995E-7</v>
      </c>
      <c r="L231" s="161" t="str">
        <f t="shared" si="19"/>
        <v xml:space="preserve"> </v>
      </c>
      <c r="M231" s="162">
        <f t="shared" si="20"/>
        <v>9.9999999999999995E-7</v>
      </c>
      <c r="N231" s="162"/>
      <c r="V231" s="143"/>
      <c r="W231" s="142"/>
      <c r="X231" s="142"/>
      <c r="Y231" s="142"/>
      <c r="Z231" s="142"/>
      <c r="AA231" s="142"/>
    </row>
    <row r="232" spans="2:27" s="141" customFormat="1" x14ac:dyDescent="0.2">
      <c r="B232" s="157">
        <v>37434</v>
      </c>
      <c r="C232" s="158">
        <v>178</v>
      </c>
      <c r="D232" s="159">
        <f>'JSM Eingabe+TW'!DB58</f>
        <v>9.9999999999999995E-7</v>
      </c>
      <c r="E232" s="159">
        <f t="shared" si="21"/>
        <v>0</v>
      </c>
      <c r="F232" s="163">
        <f t="shared" si="24"/>
        <v>9.9999999999999995E-7</v>
      </c>
      <c r="G232" s="160">
        <f t="shared" si="22"/>
        <v>1.1999999999999999E-6</v>
      </c>
      <c r="H232" s="160">
        <f t="shared" si="23"/>
        <v>0</v>
      </c>
      <c r="I232" s="160">
        <f>'JSM Eingabe+TW'!$K$18*3.6*24</f>
        <v>0</v>
      </c>
      <c r="J232" s="159">
        <f t="shared" si="17"/>
        <v>9.9999999999999995E-7</v>
      </c>
      <c r="K232" s="143">
        <f t="shared" si="18"/>
        <v>9.9999999999999995E-7</v>
      </c>
      <c r="L232" s="161" t="str">
        <f t="shared" si="19"/>
        <v xml:space="preserve"> </v>
      </c>
      <c r="M232" s="162">
        <f t="shared" si="20"/>
        <v>9.9999999999999995E-7</v>
      </c>
      <c r="N232" s="162"/>
      <c r="V232" s="143"/>
      <c r="W232" s="142"/>
      <c r="X232" s="142"/>
      <c r="Y232" s="142"/>
      <c r="Z232" s="142"/>
      <c r="AA232" s="142"/>
    </row>
    <row r="233" spans="2:27" s="141" customFormat="1" x14ac:dyDescent="0.2">
      <c r="B233" s="157">
        <v>37435</v>
      </c>
      <c r="C233" s="158">
        <v>179</v>
      </c>
      <c r="D233" s="159">
        <f>'JSM Eingabe+TW'!DB59</f>
        <v>9.9999999999999995E-7</v>
      </c>
      <c r="E233" s="159">
        <f t="shared" si="21"/>
        <v>0</v>
      </c>
      <c r="F233" s="163">
        <f t="shared" si="24"/>
        <v>9.9999999999999995E-7</v>
      </c>
      <c r="G233" s="160">
        <f t="shared" si="22"/>
        <v>1.1999999999999999E-6</v>
      </c>
      <c r="H233" s="160">
        <f t="shared" si="23"/>
        <v>0</v>
      </c>
      <c r="I233" s="160">
        <f>'JSM Eingabe+TW'!$K$18*3.6*24</f>
        <v>0</v>
      </c>
      <c r="J233" s="159">
        <f t="shared" si="17"/>
        <v>9.9999999999999995E-7</v>
      </c>
      <c r="K233" s="143">
        <f t="shared" si="18"/>
        <v>9.9999999999999995E-7</v>
      </c>
      <c r="L233" s="161" t="str">
        <f t="shared" si="19"/>
        <v xml:space="preserve"> </v>
      </c>
      <c r="M233" s="162">
        <f t="shared" si="20"/>
        <v>9.9999999999999995E-7</v>
      </c>
      <c r="N233" s="162"/>
      <c r="V233" s="143"/>
      <c r="W233" s="142"/>
      <c r="X233" s="142"/>
      <c r="Y233" s="142"/>
      <c r="Z233" s="142"/>
      <c r="AA233" s="142"/>
    </row>
    <row r="234" spans="2:27" s="141" customFormat="1" x14ac:dyDescent="0.2">
      <c r="B234" s="157">
        <v>37436</v>
      </c>
      <c r="C234" s="158">
        <v>180</v>
      </c>
      <c r="D234" s="159">
        <f>'JSM Eingabe+TW'!DB60</f>
        <v>9.9999999999999995E-7</v>
      </c>
      <c r="E234" s="159">
        <f t="shared" si="21"/>
        <v>0</v>
      </c>
      <c r="F234" s="163">
        <f t="shared" si="24"/>
        <v>9.9999999999999995E-7</v>
      </c>
      <c r="G234" s="160">
        <f t="shared" si="22"/>
        <v>1.1999999999999999E-6</v>
      </c>
      <c r="H234" s="160">
        <f t="shared" si="23"/>
        <v>0</v>
      </c>
      <c r="I234" s="160">
        <f>'JSM Eingabe+TW'!$K$18*3.6*24</f>
        <v>0</v>
      </c>
      <c r="J234" s="159">
        <f t="shared" si="17"/>
        <v>9.9999999999999995E-7</v>
      </c>
      <c r="K234" s="143">
        <f t="shared" si="18"/>
        <v>9.9999999999999995E-7</v>
      </c>
      <c r="L234" s="161" t="str">
        <f t="shared" si="19"/>
        <v xml:space="preserve"> </v>
      </c>
      <c r="M234" s="162">
        <f t="shared" si="20"/>
        <v>9.9999999999999995E-7</v>
      </c>
      <c r="N234" s="162"/>
      <c r="V234" s="143"/>
      <c r="W234" s="142"/>
      <c r="X234" s="142"/>
      <c r="Y234" s="142"/>
      <c r="Z234" s="142"/>
      <c r="AA234" s="142"/>
    </row>
    <row r="235" spans="2:27" s="141" customFormat="1" x14ac:dyDescent="0.2">
      <c r="B235" s="157">
        <v>37437</v>
      </c>
      <c r="C235" s="158">
        <v>181</v>
      </c>
      <c r="D235" s="159">
        <f>'JSM Eingabe+TW'!DB61</f>
        <v>9.9999999999999995E-7</v>
      </c>
      <c r="E235" s="159">
        <f t="shared" si="21"/>
        <v>0</v>
      </c>
      <c r="F235" s="163">
        <f t="shared" si="24"/>
        <v>9.9999999999999995E-7</v>
      </c>
      <c r="G235" s="160">
        <f t="shared" si="22"/>
        <v>1.1999999999999999E-6</v>
      </c>
      <c r="H235" s="160">
        <f t="shared" si="23"/>
        <v>0</v>
      </c>
      <c r="I235" s="160">
        <f>'JSM Eingabe+TW'!$K$18*3.6*24</f>
        <v>0</v>
      </c>
      <c r="J235" s="159">
        <f t="shared" si="17"/>
        <v>9.9999999999999995E-7</v>
      </c>
      <c r="K235" s="143">
        <f t="shared" si="18"/>
        <v>9.9999999999999995E-7</v>
      </c>
      <c r="L235" s="161" t="str">
        <f t="shared" si="19"/>
        <v xml:space="preserve"> </v>
      </c>
      <c r="M235" s="162">
        <f t="shared" si="20"/>
        <v>9.9999999999999995E-7</v>
      </c>
      <c r="N235" s="162"/>
      <c r="V235" s="143"/>
      <c r="W235" s="142"/>
      <c r="X235" s="142"/>
      <c r="Y235" s="142"/>
      <c r="Z235" s="142"/>
      <c r="AA235" s="142"/>
    </row>
    <row r="236" spans="2:27" s="141" customFormat="1" x14ac:dyDescent="0.2">
      <c r="B236" s="157">
        <v>37438</v>
      </c>
      <c r="C236" s="158">
        <v>182</v>
      </c>
      <c r="D236" s="159">
        <f>'JSM Eingabe+TW'!DC32</f>
        <v>9.9999999999999995E-7</v>
      </c>
      <c r="E236" s="159">
        <f t="shared" si="21"/>
        <v>0</v>
      </c>
      <c r="F236" s="163">
        <f t="shared" si="24"/>
        <v>9.9999999999999995E-7</v>
      </c>
      <c r="G236" s="160">
        <f t="shared" si="22"/>
        <v>1.1999999999999999E-6</v>
      </c>
      <c r="H236" s="160">
        <f t="shared" si="23"/>
        <v>0</v>
      </c>
      <c r="I236" s="160">
        <f>'JSM Eingabe+TW'!$K$18*3.6*24</f>
        <v>0</v>
      </c>
      <c r="J236" s="159">
        <f t="shared" si="17"/>
        <v>9.9999999999999995E-7</v>
      </c>
      <c r="K236" s="143">
        <f t="shared" si="18"/>
        <v>9.9999999999999995E-7</v>
      </c>
      <c r="L236" s="161" t="str">
        <f t="shared" si="19"/>
        <v xml:space="preserve"> </v>
      </c>
      <c r="M236" s="162">
        <f t="shared" si="20"/>
        <v>9.9999999999999995E-7</v>
      </c>
      <c r="N236" s="162"/>
      <c r="V236" s="143"/>
      <c r="W236" s="142"/>
      <c r="X236" s="142"/>
      <c r="Y236" s="142"/>
      <c r="Z236" s="142"/>
      <c r="AA236" s="142"/>
    </row>
    <row r="237" spans="2:27" s="141" customFormat="1" x14ac:dyDescent="0.2">
      <c r="B237" s="157">
        <v>37439</v>
      </c>
      <c r="C237" s="158">
        <v>183</v>
      </c>
      <c r="D237" s="159">
        <f>'JSM Eingabe+TW'!DC33</f>
        <v>9.9999999999999995E-7</v>
      </c>
      <c r="E237" s="159">
        <f t="shared" si="21"/>
        <v>0</v>
      </c>
      <c r="F237" s="163">
        <f t="shared" si="24"/>
        <v>9.9999999999999995E-7</v>
      </c>
      <c r="G237" s="160">
        <f t="shared" si="22"/>
        <v>1.1999999999999999E-6</v>
      </c>
      <c r="H237" s="160">
        <f t="shared" si="23"/>
        <v>0</v>
      </c>
      <c r="I237" s="160">
        <f>'JSM Eingabe+TW'!$K$18*3.6*24</f>
        <v>0</v>
      </c>
      <c r="J237" s="159">
        <f t="shared" si="17"/>
        <v>9.9999999999999995E-7</v>
      </c>
      <c r="K237" s="143">
        <f t="shared" si="18"/>
        <v>9.9999999999999995E-7</v>
      </c>
      <c r="L237" s="161" t="str">
        <f t="shared" si="19"/>
        <v xml:space="preserve"> </v>
      </c>
      <c r="M237" s="162">
        <f t="shared" si="20"/>
        <v>9.9999999999999995E-7</v>
      </c>
      <c r="N237" s="162"/>
      <c r="V237" s="143"/>
      <c r="W237" s="142"/>
      <c r="X237" s="142"/>
      <c r="Y237" s="142"/>
      <c r="Z237" s="142"/>
      <c r="AA237" s="142"/>
    </row>
    <row r="238" spans="2:27" s="141" customFormat="1" x14ac:dyDescent="0.2">
      <c r="B238" s="157">
        <v>37440</v>
      </c>
      <c r="C238" s="158">
        <v>184</v>
      </c>
      <c r="D238" s="159">
        <f>'JSM Eingabe+TW'!DC34</f>
        <v>9.9999999999999995E-7</v>
      </c>
      <c r="E238" s="159">
        <f t="shared" si="21"/>
        <v>0</v>
      </c>
      <c r="F238" s="163">
        <f t="shared" si="24"/>
        <v>9.9999999999999995E-7</v>
      </c>
      <c r="G238" s="160">
        <f t="shared" si="22"/>
        <v>1.1999999999999999E-6</v>
      </c>
      <c r="H238" s="160">
        <f t="shared" si="23"/>
        <v>0</v>
      </c>
      <c r="I238" s="160">
        <f>'JSM Eingabe+TW'!$K$18*3.6*24</f>
        <v>0</v>
      </c>
      <c r="J238" s="159">
        <f t="shared" si="17"/>
        <v>9.9999999999999995E-7</v>
      </c>
      <c r="K238" s="143">
        <f t="shared" si="18"/>
        <v>9.9999999999999995E-7</v>
      </c>
      <c r="L238" s="161" t="str">
        <f t="shared" si="19"/>
        <v xml:space="preserve"> </v>
      </c>
      <c r="M238" s="162">
        <f t="shared" si="20"/>
        <v>9.9999999999999995E-7</v>
      </c>
      <c r="N238" s="162"/>
      <c r="V238" s="143"/>
      <c r="W238" s="142"/>
      <c r="X238" s="142"/>
      <c r="Y238" s="142"/>
      <c r="Z238" s="142"/>
      <c r="AA238" s="142"/>
    </row>
    <row r="239" spans="2:27" s="141" customFormat="1" x14ac:dyDescent="0.2">
      <c r="B239" s="157">
        <v>37441</v>
      </c>
      <c r="C239" s="158">
        <v>185</v>
      </c>
      <c r="D239" s="159">
        <f>'JSM Eingabe+TW'!DC35</f>
        <v>9.9999999999999995E-7</v>
      </c>
      <c r="E239" s="159">
        <f t="shared" si="21"/>
        <v>0</v>
      </c>
      <c r="F239" s="163">
        <f t="shared" si="24"/>
        <v>9.9999999999999995E-7</v>
      </c>
      <c r="G239" s="160">
        <f t="shared" si="22"/>
        <v>1.1999999999999999E-6</v>
      </c>
      <c r="H239" s="160">
        <f t="shared" si="23"/>
        <v>0</v>
      </c>
      <c r="I239" s="160">
        <f>'JSM Eingabe+TW'!$K$18*3.6*24</f>
        <v>0</v>
      </c>
      <c r="J239" s="159">
        <f t="shared" si="17"/>
        <v>9.9999999999999995E-7</v>
      </c>
      <c r="K239" s="143">
        <f t="shared" si="18"/>
        <v>9.9999999999999995E-7</v>
      </c>
      <c r="L239" s="161" t="str">
        <f t="shared" si="19"/>
        <v xml:space="preserve"> </v>
      </c>
      <c r="M239" s="162">
        <f t="shared" si="20"/>
        <v>9.9999999999999995E-7</v>
      </c>
      <c r="N239" s="162"/>
      <c r="V239" s="143"/>
      <c r="W239" s="142"/>
      <c r="X239" s="142"/>
      <c r="Y239" s="142"/>
      <c r="Z239" s="142"/>
      <c r="AA239" s="142"/>
    </row>
    <row r="240" spans="2:27" s="141" customFormat="1" x14ac:dyDescent="0.2">
      <c r="B240" s="157">
        <v>37442</v>
      </c>
      <c r="C240" s="158">
        <v>186</v>
      </c>
      <c r="D240" s="159">
        <f>'JSM Eingabe+TW'!DC36</f>
        <v>9.9999999999999995E-7</v>
      </c>
      <c r="E240" s="159">
        <f t="shared" si="21"/>
        <v>0</v>
      </c>
      <c r="F240" s="163">
        <f t="shared" si="24"/>
        <v>9.9999999999999995E-7</v>
      </c>
      <c r="G240" s="160">
        <f t="shared" si="22"/>
        <v>1.1999999999999999E-6</v>
      </c>
      <c r="H240" s="160">
        <f t="shared" si="23"/>
        <v>0</v>
      </c>
      <c r="I240" s="160">
        <f>'JSM Eingabe+TW'!$K$18*3.6*24</f>
        <v>0</v>
      </c>
      <c r="J240" s="159">
        <f t="shared" si="17"/>
        <v>9.9999999999999995E-7</v>
      </c>
      <c r="K240" s="143">
        <f t="shared" si="18"/>
        <v>9.9999999999999995E-7</v>
      </c>
      <c r="L240" s="161" t="str">
        <f t="shared" si="19"/>
        <v xml:space="preserve"> </v>
      </c>
      <c r="M240" s="162">
        <f t="shared" si="20"/>
        <v>9.9999999999999995E-7</v>
      </c>
      <c r="N240" s="162"/>
      <c r="V240" s="143"/>
      <c r="W240" s="142"/>
      <c r="X240" s="142"/>
      <c r="Y240" s="142"/>
      <c r="Z240" s="142"/>
      <c r="AA240" s="142"/>
    </row>
    <row r="241" spans="2:27" s="141" customFormat="1" x14ac:dyDescent="0.2">
      <c r="B241" s="157">
        <v>37443</v>
      </c>
      <c r="C241" s="158">
        <v>187</v>
      </c>
      <c r="D241" s="159">
        <f>'JSM Eingabe+TW'!DC37</f>
        <v>9.9999999999999995E-7</v>
      </c>
      <c r="E241" s="159">
        <f t="shared" si="21"/>
        <v>0</v>
      </c>
      <c r="F241" s="163">
        <f t="shared" si="24"/>
        <v>9.9999999999999995E-7</v>
      </c>
      <c r="G241" s="160">
        <f t="shared" si="22"/>
        <v>1.1999999999999999E-6</v>
      </c>
      <c r="H241" s="160">
        <f t="shared" si="23"/>
        <v>0</v>
      </c>
      <c r="I241" s="160">
        <f>'JSM Eingabe+TW'!$K$18*3.6*24</f>
        <v>0</v>
      </c>
      <c r="J241" s="159">
        <f t="shared" si="17"/>
        <v>9.9999999999999995E-7</v>
      </c>
      <c r="K241" s="143">
        <f t="shared" si="18"/>
        <v>9.9999999999999995E-7</v>
      </c>
      <c r="L241" s="161" t="str">
        <f t="shared" si="19"/>
        <v xml:space="preserve"> </v>
      </c>
      <c r="M241" s="162">
        <f t="shared" si="20"/>
        <v>9.9999999999999995E-7</v>
      </c>
      <c r="N241" s="162"/>
      <c r="V241" s="143"/>
      <c r="W241" s="142"/>
      <c r="X241" s="142"/>
      <c r="Y241" s="142"/>
      <c r="Z241" s="142"/>
      <c r="AA241" s="142"/>
    </row>
    <row r="242" spans="2:27" s="141" customFormat="1" x14ac:dyDescent="0.2">
      <c r="B242" s="157">
        <v>37444</v>
      </c>
      <c r="C242" s="158">
        <v>188</v>
      </c>
      <c r="D242" s="159">
        <f>'JSM Eingabe+TW'!DC38</f>
        <v>9.9999999999999995E-7</v>
      </c>
      <c r="E242" s="159">
        <f t="shared" si="21"/>
        <v>0</v>
      </c>
      <c r="F242" s="163">
        <f t="shared" si="24"/>
        <v>9.9999999999999995E-7</v>
      </c>
      <c r="G242" s="160">
        <f t="shared" si="22"/>
        <v>1.1999999999999999E-6</v>
      </c>
      <c r="H242" s="160">
        <f t="shared" si="23"/>
        <v>0</v>
      </c>
      <c r="I242" s="160">
        <f>'JSM Eingabe+TW'!$K$18*3.6*24</f>
        <v>0</v>
      </c>
      <c r="J242" s="159">
        <f t="shared" si="17"/>
        <v>9.9999999999999995E-7</v>
      </c>
      <c r="K242" s="143">
        <f t="shared" si="18"/>
        <v>9.9999999999999995E-7</v>
      </c>
      <c r="L242" s="161" t="str">
        <f t="shared" si="19"/>
        <v xml:space="preserve"> </v>
      </c>
      <c r="M242" s="162">
        <f t="shared" si="20"/>
        <v>9.9999999999999995E-7</v>
      </c>
      <c r="N242" s="162"/>
      <c r="V242" s="143"/>
      <c r="W242" s="142"/>
      <c r="X242" s="142"/>
      <c r="Y242" s="142"/>
      <c r="Z242" s="142"/>
      <c r="AA242" s="142"/>
    </row>
    <row r="243" spans="2:27" s="141" customFormat="1" x14ac:dyDescent="0.2">
      <c r="B243" s="157">
        <v>37445</v>
      </c>
      <c r="C243" s="158">
        <v>189</v>
      </c>
      <c r="D243" s="159">
        <f>'JSM Eingabe+TW'!DC39</f>
        <v>9.9999999999999995E-7</v>
      </c>
      <c r="E243" s="159">
        <f t="shared" si="21"/>
        <v>0</v>
      </c>
      <c r="F243" s="163">
        <f t="shared" si="24"/>
        <v>9.9999999999999995E-7</v>
      </c>
      <c r="G243" s="160">
        <f t="shared" si="22"/>
        <v>1.1999999999999999E-6</v>
      </c>
      <c r="H243" s="160">
        <f t="shared" si="23"/>
        <v>0</v>
      </c>
      <c r="I243" s="160">
        <f>'JSM Eingabe+TW'!$K$18*3.6*24</f>
        <v>0</v>
      </c>
      <c r="J243" s="159">
        <f t="shared" si="17"/>
        <v>9.9999999999999995E-7</v>
      </c>
      <c r="K243" s="143">
        <f t="shared" si="18"/>
        <v>9.9999999999999995E-7</v>
      </c>
      <c r="L243" s="161" t="str">
        <f t="shared" si="19"/>
        <v xml:space="preserve"> </v>
      </c>
      <c r="M243" s="162">
        <f t="shared" si="20"/>
        <v>9.9999999999999995E-7</v>
      </c>
      <c r="N243" s="162"/>
      <c r="V243" s="143"/>
      <c r="W243" s="142"/>
      <c r="X243" s="142"/>
      <c r="Y243" s="142"/>
      <c r="Z243" s="142"/>
      <c r="AA243" s="142"/>
    </row>
    <row r="244" spans="2:27" s="141" customFormat="1" x14ac:dyDescent="0.2">
      <c r="B244" s="157">
        <v>37446</v>
      </c>
      <c r="C244" s="158">
        <v>190</v>
      </c>
      <c r="D244" s="159">
        <f>'JSM Eingabe+TW'!DC40</f>
        <v>9.9999999999999995E-7</v>
      </c>
      <c r="E244" s="159">
        <f t="shared" si="21"/>
        <v>0</v>
      </c>
      <c r="F244" s="163">
        <f t="shared" si="24"/>
        <v>9.9999999999999995E-7</v>
      </c>
      <c r="G244" s="160">
        <f t="shared" si="22"/>
        <v>1.1999999999999999E-6</v>
      </c>
      <c r="H244" s="160">
        <f t="shared" si="23"/>
        <v>0</v>
      </c>
      <c r="I244" s="160">
        <f>'JSM Eingabe+TW'!$K$18*3.6*24</f>
        <v>0</v>
      </c>
      <c r="J244" s="159">
        <f t="shared" si="17"/>
        <v>9.9999999999999995E-7</v>
      </c>
      <c r="K244" s="143">
        <f t="shared" si="18"/>
        <v>9.9999999999999995E-7</v>
      </c>
      <c r="L244" s="161" t="str">
        <f t="shared" si="19"/>
        <v xml:space="preserve"> </v>
      </c>
      <c r="M244" s="162">
        <f t="shared" si="20"/>
        <v>9.9999999999999995E-7</v>
      </c>
      <c r="N244" s="162"/>
      <c r="V244" s="143"/>
      <c r="W244" s="142"/>
      <c r="X244" s="142"/>
      <c r="Y244" s="142"/>
      <c r="Z244" s="142"/>
      <c r="AA244" s="142"/>
    </row>
    <row r="245" spans="2:27" s="141" customFormat="1" x14ac:dyDescent="0.2">
      <c r="B245" s="157">
        <v>37447</v>
      </c>
      <c r="C245" s="158">
        <v>191</v>
      </c>
      <c r="D245" s="159">
        <f>'JSM Eingabe+TW'!DC41</f>
        <v>9.9999999999999995E-7</v>
      </c>
      <c r="E245" s="159">
        <f t="shared" si="21"/>
        <v>0</v>
      </c>
      <c r="F245" s="163">
        <f t="shared" si="24"/>
        <v>9.9999999999999995E-7</v>
      </c>
      <c r="G245" s="160">
        <f t="shared" si="22"/>
        <v>1.1999999999999999E-6</v>
      </c>
      <c r="H245" s="160">
        <f t="shared" si="23"/>
        <v>0</v>
      </c>
      <c r="I245" s="160">
        <f>'JSM Eingabe+TW'!$K$18*3.6*24</f>
        <v>0</v>
      </c>
      <c r="J245" s="159">
        <f t="shared" si="17"/>
        <v>9.9999999999999995E-7</v>
      </c>
      <c r="K245" s="143">
        <f t="shared" si="18"/>
        <v>9.9999999999999995E-7</v>
      </c>
      <c r="L245" s="161" t="str">
        <f t="shared" si="19"/>
        <v xml:space="preserve"> </v>
      </c>
      <c r="M245" s="162">
        <f t="shared" si="20"/>
        <v>9.9999999999999995E-7</v>
      </c>
      <c r="N245" s="162"/>
      <c r="V245" s="143"/>
      <c r="W245" s="142"/>
      <c r="X245" s="142"/>
      <c r="Y245" s="142"/>
      <c r="Z245" s="142"/>
      <c r="AA245" s="142"/>
    </row>
    <row r="246" spans="2:27" s="141" customFormat="1" x14ac:dyDescent="0.2">
      <c r="B246" s="157">
        <v>37448</v>
      </c>
      <c r="C246" s="158">
        <v>192</v>
      </c>
      <c r="D246" s="159">
        <f>'JSM Eingabe+TW'!DC42</f>
        <v>9.9999999999999995E-7</v>
      </c>
      <c r="E246" s="159">
        <f t="shared" si="21"/>
        <v>0</v>
      </c>
      <c r="F246" s="163">
        <f t="shared" si="24"/>
        <v>9.9999999999999995E-7</v>
      </c>
      <c r="G246" s="160">
        <f t="shared" si="22"/>
        <v>1.1999999999999999E-6</v>
      </c>
      <c r="H246" s="160">
        <f t="shared" si="23"/>
        <v>0</v>
      </c>
      <c r="I246" s="160">
        <f>'JSM Eingabe+TW'!$K$18*3.6*24</f>
        <v>0</v>
      </c>
      <c r="J246" s="159">
        <f t="shared" si="17"/>
        <v>9.9999999999999995E-7</v>
      </c>
      <c r="K246" s="143">
        <f t="shared" si="18"/>
        <v>9.9999999999999995E-7</v>
      </c>
      <c r="L246" s="161" t="str">
        <f t="shared" si="19"/>
        <v xml:space="preserve"> </v>
      </c>
      <c r="M246" s="162">
        <f t="shared" si="20"/>
        <v>9.9999999999999995E-7</v>
      </c>
      <c r="N246" s="162"/>
      <c r="V246" s="143"/>
      <c r="W246" s="142"/>
      <c r="X246" s="142"/>
      <c r="Y246" s="142"/>
      <c r="Z246" s="142"/>
      <c r="AA246" s="142"/>
    </row>
    <row r="247" spans="2:27" s="141" customFormat="1" x14ac:dyDescent="0.2">
      <c r="B247" s="157">
        <v>37449</v>
      </c>
      <c r="C247" s="158">
        <v>193</v>
      </c>
      <c r="D247" s="159">
        <f>'JSM Eingabe+TW'!DC43</f>
        <v>9.9999999999999995E-7</v>
      </c>
      <c r="E247" s="159">
        <f t="shared" si="21"/>
        <v>0</v>
      </c>
      <c r="F247" s="163">
        <f t="shared" si="24"/>
        <v>9.9999999999999995E-7</v>
      </c>
      <c r="G247" s="160">
        <f t="shared" si="22"/>
        <v>1.1999999999999999E-6</v>
      </c>
      <c r="H247" s="160">
        <f t="shared" si="23"/>
        <v>0</v>
      </c>
      <c r="I247" s="160">
        <f>'JSM Eingabe+TW'!$K$18*3.6*24</f>
        <v>0</v>
      </c>
      <c r="J247" s="159">
        <f t="shared" ref="J247:J310" si="25">IF(D247&lt;=G247,D247,0)</f>
        <v>9.9999999999999995E-7</v>
      </c>
      <c r="K247" s="143">
        <f t="shared" ref="K247:K310" si="26">IF(F247&lt;E247,0,F247-E247)</f>
        <v>9.9999999999999995E-7</v>
      </c>
      <c r="L247" s="161" t="str">
        <f t="shared" ref="L247:L310" si="27">IF(M247&lt;0,1, " ")</f>
        <v xml:space="preserve"> </v>
      </c>
      <c r="M247" s="162">
        <f t="shared" ref="M247:M310" si="28">F247-E247</f>
        <v>9.9999999999999995E-7</v>
      </c>
      <c r="N247" s="162"/>
      <c r="V247" s="143"/>
      <c r="W247" s="142"/>
      <c r="X247" s="142"/>
      <c r="Y247" s="142"/>
      <c r="Z247" s="142"/>
      <c r="AA247" s="142"/>
    </row>
    <row r="248" spans="2:27" s="141" customFormat="1" x14ac:dyDescent="0.2">
      <c r="B248" s="157">
        <v>37450</v>
      </c>
      <c r="C248" s="158">
        <v>194</v>
      </c>
      <c r="D248" s="159">
        <f>'JSM Eingabe+TW'!DC44</f>
        <v>9.9999999999999995E-7</v>
      </c>
      <c r="E248" s="159">
        <f t="shared" ref="E248:E311" si="29">$E$55</f>
        <v>0</v>
      </c>
      <c r="F248" s="163">
        <f t="shared" si="24"/>
        <v>9.9999999999999995E-7</v>
      </c>
      <c r="G248" s="160">
        <f t="shared" ref="G248:G311" si="30">F248*1.2</f>
        <v>1.1999999999999999E-6</v>
      </c>
      <c r="H248" s="160">
        <f t="shared" si="23"/>
        <v>0</v>
      </c>
      <c r="I248" s="160">
        <f>'JSM Eingabe+TW'!$K$18*3.6*24</f>
        <v>0</v>
      </c>
      <c r="J248" s="159">
        <f t="shared" si="25"/>
        <v>9.9999999999999995E-7</v>
      </c>
      <c r="K248" s="143">
        <f t="shared" si="26"/>
        <v>9.9999999999999995E-7</v>
      </c>
      <c r="L248" s="161" t="str">
        <f t="shared" si="27"/>
        <v xml:space="preserve"> </v>
      </c>
      <c r="M248" s="162">
        <f t="shared" si="28"/>
        <v>9.9999999999999995E-7</v>
      </c>
      <c r="N248" s="162"/>
      <c r="V248" s="143"/>
      <c r="W248" s="142"/>
      <c r="X248" s="142"/>
      <c r="Y248" s="142"/>
      <c r="Z248" s="142"/>
      <c r="AA248" s="142"/>
    </row>
    <row r="249" spans="2:27" s="141" customFormat="1" x14ac:dyDescent="0.2">
      <c r="B249" s="157">
        <v>37451</v>
      </c>
      <c r="C249" s="158">
        <v>195</v>
      </c>
      <c r="D249" s="159">
        <f>'JSM Eingabe+TW'!DC45</f>
        <v>9.9999999999999995E-7</v>
      </c>
      <c r="E249" s="159">
        <f t="shared" si="29"/>
        <v>0</v>
      </c>
      <c r="F249" s="163">
        <f t="shared" si="24"/>
        <v>9.9999999999999995E-7</v>
      </c>
      <c r="G249" s="160">
        <f t="shared" si="30"/>
        <v>1.1999999999999999E-6</v>
      </c>
      <c r="H249" s="160">
        <f t="shared" ref="H249:H312" si="31">H248</f>
        <v>0</v>
      </c>
      <c r="I249" s="160">
        <f>'JSM Eingabe+TW'!$K$18*3.6*24</f>
        <v>0</v>
      </c>
      <c r="J249" s="159">
        <f t="shared" si="25"/>
        <v>9.9999999999999995E-7</v>
      </c>
      <c r="K249" s="143">
        <f t="shared" si="26"/>
        <v>9.9999999999999995E-7</v>
      </c>
      <c r="L249" s="161" t="str">
        <f t="shared" si="27"/>
        <v xml:space="preserve"> </v>
      </c>
      <c r="M249" s="162">
        <f t="shared" si="28"/>
        <v>9.9999999999999995E-7</v>
      </c>
      <c r="N249" s="162"/>
      <c r="V249" s="143"/>
      <c r="W249" s="142"/>
      <c r="X249" s="142"/>
      <c r="Y249" s="142"/>
      <c r="Z249" s="142"/>
      <c r="AA249" s="142"/>
    </row>
    <row r="250" spans="2:27" s="141" customFormat="1" x14ac:dyDescent="0.2">
      <c r="B250" s="157">
        <v>37452</v>
      </c>
      <c r="C250" s="158">
        <v>196</v>
      </c>
      <c r="D250" s="159">
        <f>'JSM Eingabe+TW'!DC46</f>
        <v>9.9999999999999995E-7</v>
      </c>
      <c r="E250" s="159">
        <f t="shared" si="29"/>
        <v>0</v>
      </c>
      <c r="F250" s="163">
        <f t="shared" si="24"/>
        <v>9.9999999999999995E-7</v>
      </c>
      <c r="G250" s="160">
        <f t="shared" si="30"/>
        <v>1.1999999999999999E-6</v>
      </c>
      <c r="H250" s="160">
        <f t="shared" si="31"/>
        <v>0</v>
      </c>
      <c r="I250" s="160">
        <f>'JSM Eingabe+TW'!$K$18*3.6*24</f>
        <v>0</v>
      </c>
      <c r="J250" s="159">
        <f t="shared" si="25"/>
        <v>9.9999999999999995E-7</v>
      </c>
      <c r="K250" s="143">
        <f t="shared" si="26"/>
        <v>9.9999999999999995E-7</v>
      </c>
      <c r="L250" s="161" t="str">
        <f t="shared" si="27"/>
        <v xml:space="preserve"> </v>
      </c>
      <c r="M250" s="162">
        <f t="shared" si="28"/>
        <v>9.9999999999999995E-7</v>
      </c>
      <c r="N250" s="162"/>
      <c r="V250" s="143"/>
      <c r="W250" s="142"/>
      <c r="X250" s="142"/>
      <c r="Y250" s="142"/>
      <c r="Z250" s="142"/>
      <c r="AA250" s="142"/>
    </row>
    <row r="251" spans="2:27" s="141" customFormat="1" x14ac:dyDescent="0.2">
      <c r="B251" s="157">
        <v>37453</v>
      </c>
      <c r="C251" s="158">
        <v>197</v>
      </c>
      <c r="D251" s="159">
        <f>'JSM Eingabe+TW'!DC47</f>
        <v>9.9999999999999995E-7</v>
      </c>
      <c r="E251" s="159">
        <f t="shared" si="29"/>
        <v>0</v>
      </c>
      <c r="F251" s="163">
        <f t="shared" si="24"/>
        <v>9.9999999999999995E-7</v>
      </c>
      <c r="G251" s="160">
        <f t="shared" si="30"/>
        <v>1.1999999999999999E-6</v>
      </c>
      <c r="H251" s="160">
        <f t="shared" si="31"/>
        <v>0</v>
      </c>
      <c r="I251" s="160">
        <f>'JSM Eingabe+TW'!$K$18*3.6*24</f>
        <v>0</v>
      </c>
      <c r="J251" s="159">
        <f t="shared" si="25"/>
        <v>9.9999999999999995E-7</v>
      </c>
      <c r="K251" s="143">
        <f t="shared" si="26"/>
        <v>9.9999999999999995E-7</v>
      </c>
      <c r="L251" s="161" t="str">
        <f t="shared" si="27"/>
        <v xml:space="preserve"> </v>
      </c>
      <c r="M251" s="162">
        <f t="shared" si="28"/>
        <v>9.9999999999999995E-7</v>
      </c>
      <c r="N251" s="162"/>
      <c r="V251" s="143"/>
      <c r="W251" s="142"/>
      <c r="X251" s="142"/>
      <c r="Y251" s="142"/>
      <c r="Z251" s="142"/>
      <c r="AA251" s="142"/>
    </row>
    <row r="252" spans="2:27" s="141" customFormat="1" x14ac:dyDescent="0.2">
      <c r="B252" s="157">
        <v>37454</v>
      </c>
      <c r="C252" s="158">
        <v>198</v>
      </c>
      <c r="D252" s="159">
        <f>'JSM Eingabe+TW'!DC48</f>
        <v>9.9999999999999995E-7</v>
      </c>
      <c r="E252" s="159">
        <f t="shared" si="29"/>
        <v>0</v>
      </c>
      <c r="F252" s="163">
        <f t="shared" si="24"/>
        <v>9.9999999999999995E-7</v>
      </c>
      <c r="G252" s="160">
        <f t="shared" si="30"/>
        <v>1.1999999999999999E-6</v>
      </c>
      <c r="H252" s="160">
        <f t="shared" si="31"/>
        <v>0</v>
      </c>
      <c r="I252" s="160">
        <f>'JSM Eingabe+TW'!$K$18*3.6*24</f>
        <v>0</v>
      </c>
      <c r="J252" s="159">
        <f t="shared" si="25"/>
        <v>9.9999999999999995E-7</v>
      </c>
      <c r="K252" s="143">
        <f t="shared" si="26"/>
        <v>9.9999999999999995E-7</v>
      </c>
      <c r="L252" s="161" t="str">
        <f t="shared" si="27"/>
        <v xml:space="preserve"> </v>
      </c>
      <c r="M252" s="162">
        <f t="shared" si="28"/>
        <v>9.9999999999999995E-7</v>
      </c>
      <c r="N252" s="162"/>
      <c r="V252" s="143"/>
      <c r="W252" s="142"/>
      <c r="X252" s="142"/>
      <c r="Y252" s="142"/>
      <c r="Z252" s="142"/>
      <c r="AA252" s="142"/>
    </row>
    <row r="253" spans="2:27" s="141" customFormat="1" x14ac:dyDescent="0.2">
      <c r="B253" s="157">
        <v>37455</v>
      </c>
      <c r="C253" s="158">
        <v>199</v>
      </c>
      <c r="D253" s="159">
        <f>'JSM Eingabe+TW'!DC49</f>
        <v>9.9999999999999995E-7</v>
      </c>
      <c r="E253" s="159">
        <f t="shared" si="29"/>
        <v>0</v>
      </c>
      <c r="F253" s="163">
        <f t="shared" si="24"/>
        <v>9.9999999999999995E-7</v>
      </c>
      <c r="G253" s="160">
        <f t="shared" si="30"/>
        <v>1.1999999999999999E-6</v>
      </c>
      <c r="H253" s="160">
        <f t="shared" si="31"/>
        <v>0</v>
      </c>
      <c r="I253" s="160">
        <f>'JSM Eingabe+TW'!$K$18*3.6*24</f>
        <v>0</v>
      </c>
      <c r="J253" s="159">
        <f t="shared" si="25"/>
        <v>9.9999999999999995E-7</v>
      </c>
      <c r="K253" s="143">
        <f t="shared" si="26"/>
        <v>9.9999999999999995E-7</v>
      </c>
      <c r="L253" s="161" t="str">
        <f t="shared" si="27"/>
        <v xml:space="preserve"> </v>
      </c>
      <c r="M253" s="162">
        <f t="shared" si="28"/>
        <v>9.9999999999999995E-7</v>
      </c>
      <c r="N253" s="162"/>
      <c r="V253" s="143"/>
      <c r="W253" s="142"/>
      <c r="X253" s="142"/>
      <c r="Y253" s="142"/>
      <c r="Z253" s="142"/>
      <c r="AA253" s="142"/>
    </row>
    <row r="254" spans="2:27" s="141" customFormat="1" x14ac:dyDescent="0.2">
      <c r="B254" s="157">
        <v>37456</v>
      </c>
      <c r="C254" s="158">
        <v>200</v>
      </c>
      <c r="D254" s="159">
        <f>'JSM Eingabe+TW'!DC50</f>
        <v>9.9999999999999995E-7</v>
      </c>
      <c r="E254" s="159">
        <f t="shared" si="29"/>
        <v>0</v>
      </c>
      <c r="F254" s="163">
        <f t="shared" si="24"/>
        <v>9.9999999999999995E-7</v>
      </c>
      <c r="G254" s="160">
        <f t="shared" si="30"/>
        <v>1.1999999999999999E-6</v>
      </c>
      <c r="H254" s="160">
        <f t="shared" si="31"/>
        <v>0</v>
      </c>
      <c r="I254" s="160">
        <f>'JSM Eingabe+TW'!$K$18*3.6*24</f>
        <v>0</v>
      </c>
      <c r="J254" s="159">
        <f t="shared" si="25"/>
        <v>9.9999999999999995E-7</v>
      </c>
      <c r="K254" s="143">
        <f t="shared" si="26"/>
        <v>9.9999999999999995E-7</v>
      </c>
      <c r="L254" s="161" t="str">
        <f t="shared" si="27"/>
        <v xml:space="preserve"> </v>
      </c>
      <c r="M254" s="162">
        <f t="shared" si="28"/>
        <v>9.9999999999999995E-7</v>
      </c>
      <c r="N254" s="162"/>
      <c r="V254" s="143"/>
      <c r="W254" s="142"/>
      <c r="X254" s="142"/>
      <c r="Y254" s="142"/>
      <c r="Z254" s="142"/>
      <c r="AA254" s="142"/>
    </row>
    <row r="255" spans="2:27" s="141" customFormat="1" x14ac:dyDescent="0.2">
      <c r="B255" s="157">
        <v>37457</v>
      </c>
      <c r="C255" s="158">
        <v>201</v>
      </c>
      <c r="D255" s="159">
        <f>'JSM Eingabe+TW'!DC51</f>
        <v>9.9999999999999995E-7</v>
      </c>
      <c r="E255" s="159">
        <f t="shared" si="29"/>
        <v>0</v>
      </c>
      <c r="F255" s="163">
        <f t="shared" si="24"/>
        <v>9.9999999999999995E-7</v>
      </c>
      <c r="G255" s="160">
        <f t="shared" si="30"/>
        <v>1.1999999999999999E-6</v>
      </c>
      <c r="H255" s="160">
        <f t="shared" si="31"/>
        <v>0</v>
      </c>
      <c r="I255" s="160">
        <f>'JSM Eingabe+TW'!$K$18*3.6*24</f>
        <v>0</v>
      </c>
      <c r="J255" s="159">
        <f t="shared" si="25"/>
        <v>9.9999999999999995E-7</v>
      </c>
      <c r="K255" s="143">
        <f t="shared" si="26"/>
        <v>9.9999999999999995E-7</v>
      </c>
      <c r="L255" s="161" t="str">
        <f t="shared" si="27"/>
        <v xml:space="preserve"> </v>
      </c>
      <c r="M255" s="162">
        <f t="shared" si="28"/>
        <v>9.9999999999999995E-7</v>
      </c>
      <c r="N255" s="162"/>
      <c r="V255" s="143"/>
      <c r="W255" s="142"/>
      <c r="X255" s="142"/>
      <c r="Y255" s="142"/>
      <c r="Z255" s="142"/>
      <c r="AA255" s="142"/>
    </row>
    <row r="256" spans="2:27" s="141" customFormat="1" x14ac:dyDescent="0.2">
      <c r="B256" s="157">
        <v>37458</v>
      </c>
      <c r="C256" s="158">
        <v>202</v>
      </c>
      <c r="D256" s="159">
        <f>'JSM Eingabe+TW'!DC52</f>
        <v>9.9999999999999995E-7</v>
      </c>
      <c r="E256" s="159">
        <f t="shared" si="29"/>
        <v>0</v>
      </c>
      <c r="F256" s="163">
        <f t="shared" si="24"/>
        <v>9.9999999999999995E-7</v>
      </c>
      <c r="G256" s="160">
        <f t="shared" si="30"/>
        <v>1.1999999999999999E-6</v>
      </c>
      <c r="H256" s="160">
        <f t="shared" si="31"/>
        <v>0</v>
      </c>
      <c r="I256" s="160">
        <f>'JSM Eingabe+TW'!$K$18*3.6*24</f>
        <v>0</v>
      </c>
      <c r="J256" s="159">
        <f t="shared" si="25"/>
        <v>9.9999999999999995E-7</v>
      </c>
      <c r="K256" s="143">
        <f t="shared" si="26"/>
        <v>9.9999999999999995E-7</v>
      </c>
      <c r="L256" s="161" t="str">
        <f t="shared" si="27"/>
        <v xml:space="preserve"> </v>
      </c>
      <c r="M256" s="162">
        <f t="shared" si="28"/>
        <v>9.9999999999999995E-7</v>
      </c>
      <c r="N256" s="162"/>
      <c r="V256" s="143"/>
      <c r="W256" s="142"/>
      <c r="X256" s="142"/>
      <c r="Y256" s="142"/>
      <c r="Z256" s="142"/>
      <c r="AA256" s="142"/>
    </row>
    <row r="257" spans="2:27" s="141" customFormat="1" x14ac:dyDescent="0.2">
      <c r="B257" s="157">
        <v>37459</v>
      </c>
      <c r="C257" s="158">
        <v>203</v>
      </c>
      <c r="D257" s="159">
        <f>'JSM Eingabe+TW'!DC53</f>
        <v>9.9999999999999995E-7</v>
      </c>
      <c r="E257" s="159">
        <f t="shared" si="29"/>
        <v>0</v>
      </c>
      <c r="F257" s="163">
        <f t="shared" si="24"/>
        <v>9.9999999999999995E-7</v>
      </c>
      <c r="G257" s="160">
        <f t="shared" si="30"/>
        <v>1.1999999999999999E-6</v>
      </c>
      <c r="H257" s="160">
        <f t="shared" si="31"/>
        <v>0</v>
      </c>
      <c r="I257" s="160">
        <f>'JSM Eingabe+TW'!$K$18*3.6*24</f>
        <v>0</v>
      </c>
      <c r="J257" s="159">
        <f t="shared" si="25"/>
        <v>9.9999999999999995E-7</v>
      </c>
      <c r="K257" s="143">
        <f t="shared" si="26"/>
        <v>9.9999999999999995E-7</v>
      </c>
      <c r="L257" s="161" t="str">
        <f t="shared" si="27"/>
        <v xml:space="preserve"> </v>
      </c>
      <c r="M257" s="162">
        <f t="shared" si="28"/>
        <v>9.9999999999999995E-7</v>
      </c>
      <c r="N257" s="162"/>
      <c r="V257" s="143"/>
      <c r="W257" s="142"/>
      <c r="X257" s="142"/>
      <c r="Y257" s="142"/>
      <c r="Z257" s="142"/>
      <c r="AA257" s="142"/>
    </row>
    <row r="258" spans="2:27" s="141" customFormat="1" x14ac:dyDescent="0.2">
      <c r="B258" s="157">
        <v>37460</v>
      </c>
      <c r="C258" s="158">
        <v>204</v>
      </c>
      <c r="D258" s="159">
        <f>'JSM Eingabe+TW'!DC54</f>
        <v>9.9999999999999995E-7</v>
      </c>
      <c r="E258" s="159">
        <f t="shared" si="29"/>
        <v>0</v>
      </c>
      <c r="F258" s="163">
        <f t="shared" ref="F258:F321" si="32">SMALL(D248:D268,1)</f>
        <v>9.9999999999999995E-7</v>
      </c>
      <c r="G258" s="160">
        <f t="shared" si="30"/>
        <v>1.1999999999999999E-6</v>
      </c>
      <c r="H258" s="160">
        <f t="shared" si="31"/>
        <v>0</v>
      </c>
      <c r="I258" s="160">
        <f>'JSM Eingabe+TW'!$K$18*3.6*24</f>
        <v>0</v>
      </c>
      <c r="J258" s="159">
        <f t="shared" si="25"/>
        <v>9.9999999999999995E-7</v>
      </c>
      <c r="K258" s="143">
        <f t="shared" si="26"/>
        <v>9.9999999999999995E-7</v>
      </c>
      <c r="L258" s="161" t="str">
        <f t="shared" si="27"/>
        <v xml:space="preserve"> </v>
      </c>
      <c r="M258" s="162">
        <f t="shared" si="28"/>
        <v>9.9999999999999995E-7</v>
      </c>
      <c r="N258" s="162"/>
      <c r="V258" s="143"/>
      <c r="W258" s="142"/>
      <c r="X258" s="142"/>
      <c r="Y258" s="142"/>
      <c r="Z258" s="142"/>
      <c r="AA258" s="142"/>
    </row>
    <row r="259" spans="2:27" s="141" customFormat="1" x14ac:dyDescent="0.2">
      <c r="B259" s="157">
        <v>37461</v>
      </c>
      <c r="C259" s="158">
        <v>205</v>
      </c>
      <c r="D259" s="159">
        <f>'JSM Eingabe+TW'!DC55</f>
        <v>9.9999999999999995E-7</v>
      </c>
      <c r="E259" s="159">
        <f t="shared" si="29"/>
        <v>0</v>
      </c>
      <c r="F259" s="163">
        <f t="shared" si="32"/>
        <v>9.9999999999999995E-7</v>
      </c>
      <c r="G259" s="160">
        <f t="shared" si="30"/>
        <v>1.1999999999999999E-6</v>
      </c>
      <c r="H259" s="160">
        <f t="shared" si="31"/>
        <v>0</v>
      </c>
      <c r="I259" s="160">
        <f>'JSM Eingabe+TW'!$K$18*3.6*24</f>
        <v>0</v>
      </c>
      <c r="J259" s="159">
        <f t="shared" si="25"/>
        <v>9.9999999999999995E-7</v>
      </c>
      <c r="K259" s="143">
        <f t="shared" si="26"/>
        <v>9.9999999999999995E-7</v>
      </c>
      <c r="L259" s="161" t="str">
        <f t="shared" si="27"/>
        <v xml:space="preserve"> </v>
      </c>
      <c r="M259" s="162">
        <f t="shared" si="28"/>
        <v>9.9999999999999995E-7</v>
      </c>
      <c r="N259" s="162"/>
      <c r="V259" s="143"/>
      <c r="W259" s="142"/>
      <c r="X259" s="142"/>
      <c r="Y259" s="142"/>
      <c r="Z259" s="142"/>
      <c r="AA259" s="142"/>
    </row>
    <row r="260" spans="2:27" s="141" customFormat="1" x14ac:dyDescent="0.2">
      <c r="B260" s="157">
        <v>37462</v>
      </c>
      <c r="C260" s="158">
        <v>206</v>
      </c>
      <c r="D260" s="159">
        <f>'JSM Eingabe+TW'!DC56</f>
        <v>9.9999999999999995E-7</v>
      </c>
      <c r="E260" s="159">
        <f t="shared" si="29"/>
        <v>0</v>
      </c>
      <c r="F260" s="163">
        <f t="shared" si="32"/>
        <v>9.9999999999999995E-7</v>
      </c>
      <c r="G260" s="160">
        <f t="shared" si="30"/>
        <v>1.1999999999999999E-6</v>
      </c>
      <c r="H260" s="160">
        <f t="shared" si="31"/>
        <v>0</v>
      </c>
      <c r="I260" s="160">
        <f>'JSM Eingabe+TW'!$K$18*3.6*24</f>
        <v>0</v>
      </c>
      <c r="J260" s="159">
        <f t="shared" si="25"/>
        <v>9.9999999999999995E-7</v>
      </c>
      <c r="K260" s="143">
        <f t="shared" si="26"/>
        <v>9.9999999999999995E-7</v>
      </c>
      <c r="L260" s="161" t="str">
        <f t="shared" si="27"/>
        <v xml:space="preserve"> </v>
      </c>
      <c r="M260" s="162">
        <f t="shared" si="28"/>
        <v>9.9999999999999995E-7</v>
      </c>
      <c r="N260" s="162"/>
      <c r="V260" s="143"/>
      <c r="W260" s="142"/>
      <c r="X260" s="142"/>
      <c r="Y260" s="142"/>
      <c r="Z260" s="142"/>
      <c r="AA260" s="142"/>
    </row>
    <row r="261" spans="2:27" s="141" customFormat="1" x14ac:dyDescent="0.2">
      <c r="B261" s="157">
        <v>37463</v>
      </c>
      <c r="C261" s="158">
        <v>207</v>
      </c>
      <c r="D261" s="159">
        <f>'JSM Eingabe+TW'!DC57</f>
        <v>9.9999999999999995E-7</v>
      </c>
      <c r="E261" s="159">
        <f t="shared" si="29"/>
        <v>0</v>
      </c>
      <c r="F261" s="163">
        <f t="shared" si="32"/>
        <v>9.9999999999999995E-7</v>
      </c>
      <c r="G261" s="160">
        <f t="shared" si="30"/>
        <v>1.1999999999999999E-6</v>
      </c>
      <c r="H261" s="160">
        <f t="shared" si="31"/>
        <v>0</v>
      </c>
      <c r="I261" s="160">
        <f>'JSM Eingabe+TW'!$K$18*3.6*24</f>
        <v>0</v>
      </c>
      <c r="J261" s="159">
        <f t="shared" si="25"/>
        <v>9.9999999999999995E-7</v>
      </c>
      <c r="K261" s="143">
        <f t="shared" si="26"/>
        <v>9.9999999999999995E-7</v>
      </c>
      <c r="L261" s="161" t="str">
        <f t="shared" si="27"/>
        <v xml:space="preserve"> </v>
      </c>
      <c r="M261" s="162">
        <f t="shared" si="28"/>
        <v>9.9999999999999995E-7</v>
      </c>
      <c r="N261" s="162"/>
      <c r="V261" s="143"/>
      <c r="W261" s="142"/>
      <c r="X261" s="142"/>
      <c r="Y261" s="142"/>
      <c r="Z261" s="142"/>
      <c r="AA261" s="142"/>
    </row>
    <row r="262" spans="2:27" s="141" customFormat="1" x14ac:dyDescent="0.2">
      <c r="B262" s="157">
        <v>37464</v>
      </c>
      <c r="C262" s="158">
        <v>208</v>
      </c>
      <c r="D262" s="159">
        <f>'JSM Eingabe+TW'!DC58</f>
        <v>9.9999999999999995E-7</v>
      </c>
      <c r="E262" s="159">
        <f t="shared" si="29"/>
        <v>0</v>
      </c>
      <c r="F262" s="163">
        <f t="shared" si="32"/>
        <v>9.9999999999999995E-7</v>
      </c>
      <c r="G262" s="160">
        <f t="shared" si="30"/>
        <v>1.1999999999999999E-6</v>
      </c>
      <c r="H262" s="160">
        <f t="shared" si="31"/>
        <v>0</v>
      </c>
      <c r="I262" s="160">
        <f>'JSM Eingabe+TW'!$K$18*3.6*24</f>
        <v>0</v>
      </c>
      <c r="J262" s="159">
        <f t="shared" si="25"/>
        <v>9.9999999999999995E-7</v>
      </c>
      <c r="K262" s="143">
        <f t="shared" si="26"/>
        <v>9.9999999999999995E-7</v>
      </c>
      <c r="L262" s="161" t="str">
        <f t="shared" si="27"/>
        <v xml:space="preserve"> </v>
      </c>
      <c r="M262" s="162">
        <f t="shared" si="28"/>
        <v>9.9999999999999995E-7</v>
      </c>
      <c r="N262" s="162"/>
      <c r="V262" s="143"/>
      <c r="W262" s="142"/>
      <c r="X262" s="142"/>
      <c r="Y262" s="142"/>
      <c r="Z262" s="142"/>
      <c r="AA262" s="142"/>
    </row>
    <row r="263" spans="2:27" s="141" customFormat="1" x14ac:dyDescent="0.2">
      <c r="B263" s="157">
        <v>37465</v>
      </c>
      <c r="C263" s="158">
        <v>209</v>
      </c>
      <c r="D263" s="159">
        <f>'JSM Eingabe+TW'!DC59</f>
        <v>9.9999999999999995E-7</v>
      </c>
      <c r="E263" s="159">
        <f t="shared" si="29"/>
        <v>0</v>
      </c>
      <c r="F263" s="163">
        <f t="shared" si="32"/>
        <v>9.9999999999999995E-7</v>
      </c>
      <c r="G263" s="160">
        <f t="shared" si="30"/>
        <v>1.1999999999999999E-6</v>
      </c>
      <c r="H263" s="160">
        <f t="shared" si="31"/>
        <v>0</v>
      </c>
      <c r="I263" s="160">
        <f>'JSM Eingabe+TW'!$K$18*3.6*24</f>
        <v>0</v>
      </c>
      <c r="J263" s="159">
        <f t="shared" si="25"/>
        <v>9.9999999999999995E-7</v>
      </c>
      <c r="K263" s="143">
        <f t="shared" si="26"/>
        <v>9.9999999999999995E-7</v>
      </c>
      <c r="L263" s="161" t="str">
        <f t="shared" si="27"/>
        <v xml:space="preserve"> </v>
      </c>
      <c r="M263" s="162">
        <f t="shared" si="28"/>
        <v>9.9999999999999995E-7</v>
      </c>
      <c r="N263" s="162"/>
      <c r="V263" s="143"/>
      <c r="W263" s="142"/>
      <c r="X263" s="142"/>
      <c r="Y263" s="142"/>
      <c r="Z263" s="142"/>
      <c r="AA263" s="142"/>
    </row>
    <row r="264" spans="2:27" s="141" customFormat="1" x14ac:dyDescent="0.2">
      <c r="B264" s="157">
        <v>37466</v>
      </c>
      <c r="C264" s="158">
        <v>210</v>
      </c>
      <c r="D264" s="159">
        <f>'JSM Eingabe+TW'!DC60</f>
        <v>9.9999999999999995E-7</v>
      </c>
      <c r="E264" s="159">
        <f t="shared" si="29"/>
        <v>0</v>
      </c>
      <c r="F264" s="163">
        <f t="shared" si="32"/>
        <v>9.9999999999999995E-7</v>
      </c>
      <c r="G264" s="160">
        <f t="shared" si="30"/>
        <v>1.1999999999999999E-6</v>
      </c>
      <c r="H264" s="160">
        <f t="shared" si="31"/>
        <v>0</v>
      </c>
      <c r="I264" s="160">
        <f>'JSM Eingabe+TW'!$K$18*3.6*24</f>
        <v>0</v>
      </c>
      <c r="J264" s="159">
        <f t="shared" si="25"/>
        <v>9.9999999999999995E-7</v>
      </c>
      <c r="K264" s="143">
        <f t="shared" si="26"/>
        <v>9.9999999999999995E-7</v>
      </c>
      <c r="L264" s="161" t="str">
        <f t="shared" si="27"/>
        <v xml:space="preserve"> </v>
      </c>
      <c r="M264" s="162">
        <f t="shared" si="28"/>
        <v>9.9999999999999995E-7</v>
      </c>
      <c r="N264" s="162"/>
      <c r="V264" s="143"/>
      <c r="W264" s="142"/>
      <c r="X264" s="142"/>
      <c r="Y264" s="142"/>
      <c r="Z264" s="142"/>
      <c r="AA264" s="142"/>
    </row>
    <row r="265" spans="2:27" s="141" customFormat="1" x14ac:dyDescent="0.2">
      <c r="B265" s="157">
        <v>37467</v>
      </c>
      <c r="C265" s="158">
        <v>211</v>
      </c>
      <c r="D265" s="159">
        <f>'JSM Eingabe+TW'!DC61</f>
        <v>9.9999999999999995E-7</v>
      </c>
      <c r="E265" s="159">
        <f t="shared" si="29"/>
        <v>0</v>
      </c>
      <c r="F265" s="163">
        <f t="shared" si="32"/>
        <v>9.9999999999999995E-7</v>
      </c>
      <c r="G265" s="160">
        <f t="shared" si="30"/>
        <v>1.1999999999999999E-6</v>
      </c>
      <c r="H265" s="160">
        <f t="shared" si="31"/>
        <v>0</v>
      </c>
      <c r="I265" s="160">
        <f>'JSM Eingabe+TW'!$K$18*3.6*24</f>
        <v>0</v>
      </c>
      <c r="J265" s="159">
        <f t="shared" si="25"/>
        <v>9.9999999999999995E-7</v>
      </c>
      <c r="K265" s="143">
        <f t="shared" si="26"/>
        <v>9.9999999999999995E-7</v>
      </c>
      <c r="L265" s="161" t="str">
        <f t="shared" si="27"/>
        <v xml:space="preserve"> </v>
      </c>
      <c r="M265" s="162">
        <f t="shared" si="28"/>
        <v>9.9999999999999995E-7</v>
      </c>
      <c r="N265" s="162"/>
      <c r="V265" s="143"/>
      <c r="W265" s="142"/>
      <c r="X265" s="142"/>
      <c r="Y265" s="142"/>
      <c r="Z265" s="142"/>
      <c r="AA265" s="142"/>
    </row>
    <row r="266" spans="2:27" s="141" customFormat="1" x14ac:dyDescent="0.2">
      <c r="B266" s="157">
        <v>37468</v>
      </c>
      <c r="C266" s="158">
        <v>212</v>
      </c>
      <c r="D266" s="159">
        <f>'JSM Eingabe+TW'!DC62</f>
        <v>9.9999999999999995E-7</v>
      </c>
      <c r="E266" s="159">
        <f t="shared" si="29"/>
        <v>0</v>
      </c>
      <c r="F266" s="163">
        <f t="shared" si="32"/>
        <v>9.9999999999999995E-7</v>
      </c>
      <c r="G266" s="160">
        <f t="shared" si="30"/>
        <v>1.1999999999999999E-6</v>
      </c>
      <c r="H266" s="160">
        <f t="shared" si="31"/>
        <v>0</v>
      </c>
      <c r="I266" s="160">
        <f>'JSM Eingabe+TW'!$K$18*3.6*24</f>
        <v>0</v>
      </c>
      <c r="J266" s="159">
        <f t="shared" si="25"/>
        <v>9.9999999999999995E-7</v>
      </c>
      <c r="K266" s="143">
        <f t="shared" si="26"/>
        <v>9.9999999999999995E-7</v>
      </c>
      <c r="L266" s="161" t="str">
        <f t="shared" si="27"/>
        <v xml:space="preserve"> </v>
      </c>
      <c r="M266" s="162">
        <f t="shared" si="28"/>
        <v>9.9999999999999995E-7</v>
      </c>
      <c r="N266" s="162"/>
      <c r="V266" s="143"/>
      <c r="W266" s="142"/>
      <c r="X266" s="142"/>
      <c r="Y266" s="142"/>
      <c r="Z266" s="142"/>
      <c r="AA266" s="142"/>
    </row>
    <row r="267" spans="2:27" s="141" customFormat="1" x14ac:dyDescent="0.2">
      <c r="B267" s="157">
        <v>37469</v>
      </c>
      <c r="C267" s="158">
        <v>213</v>
      </c>
      <c r="D267" s="159">
        <f>'JSM Eingabe+TW'!DD32</f>
        <v>9.9999999999999995E-7</v>
      </c>
      <c r="E267" s="159">
        <f t="shared" si="29"/>
        <v>0</v>
      </c>
      <c r="F267" s="163">
        <f t="shared" si="32"/>
        <v>9.9999999999999995E-7</v>
      </c>
      <c r="G267" s="160">
        <f t="shared" si="30"/>
        <v>1.1999999999999999E-6</v>
      </c>
      <c r="H267" s="160">
        <f t="shared" si="31"/>
        <v>0</v>
      </c>
      <c r="I267" s="160">
        <f>'JSM Eingabe+TW'!$K$18*3.6*24</f>
        <v>0</v>
      </c>
      <c r="J267" s="159">
        <f t="shared" si="25"/>
        <v>9.9999999999999995E-7</v>
      </c>
      <c r="K267" s="143">
        <f t="shared" si="26"/>
        <v>9.9999999999999995E-7</v>
      </c>
      <c r="L267" s="161" t="str">
        <f t="shared" si="27"/>
        <v xml:space="preserve"> </v>
      </c>
      <c r="M267" s="162">
        <f t="shared" si="28"/>
        <v>9.9999999999999995E-7</v>
      </c>
      <c r="N267" s="162"/>
      <c r="V267" s="143"/>
      <c r="W267" s="142"/>
      <c r="X267" s="142"/>
      <c r="Y267" s="142"/>
      <c r="Z267" s="142"/>
      <c r="AA267" s="142"/>
    </row>
    <row r="268" spans="2:27" s="141" customFormat="1" x14ac:dyDescent="0.2">
      <c r="B268" s="157">
        <v>37470</v>
      </c>
      <c r="C268" s="158">
        <v>214</v>
      </c>
      <c r="D268" s="159">
        <f>'JSM Eingabe+TW'!DD33</f>
        <v>9.9999999999999995E-7</v>
      </c>
      <c r="E268" s="159">
        <f t="shared" si="29"/>
        <v>0</v>
      </c>
      <c r="F268" s="163">
        <f t="shared" si="32"/>
        <v>9.9999999999999995E-7</v>
      </c>
      <c r="G268" s="160">
        <f t="shared" si="30"/>
        <v>1.1999999999999999E-6</v>
      </c>
      <c r="H268" s="160">
        <f t="shared" si="31"/>
        <v>0</v>
      </c>
      <c r="I268" s="160">
        <f>'JSM Eingabe+TW'!$K$18*3.6*24</f>
        <v>0</v>
      </c>
      <c r="J268" s="159">
        <f t="shared" si="25"/>
        <v>9.9999999999999995E-7</v>
      </c>
      <c r="K268" s="143">
        <f t="shared" si="26"/>
        <v>9.9999999999999995E-7</v>
      </c>
      <c r="L268" s="161" t="str">
        <f t="shared" si="27"/>
        <v xml:space="preserve"> </v>
      </c>
      <c r="M268" s="162">
        <f t="shared" si="28"/>
        <v>9.9999999999999995E-7</v>
      </c>
      <c r="N268" s="162"/>
      <c r="V268" s="143"/>
      <c r="W268" s="142"/>
      <c r="X268" s="142"/>
      <c r="Y268" s="142"/>
      <c r="Z268" s="142"/>
      <c r="AA268" s="142"/>
    </row>
    <row r="269" spans="2:27" s="141" customFormat="1" x14ac:dyDescent="0.2">
      <c r="B269" s="157">
        <v>37471</v>
      </c>
      <c r="C269" s="158">
        <v>215</v>
      </c>
      <c r="D269" s="159">
        <f>'JSM Eingabe+TW'!DD34</f>
        <v>9.9999999999999995E-7</v>
      </c>
      <c r="E269" s="159">
        <f t="shared" si="29"/>
        <v>0</v>
      </c>
      <c r="F269" s="163">
        <f t="shared" si="32"/>
        <v>9.9999999999999995E-7</v>
      </c>
      <c r="G269" s="160">
        <f t="shared" si="30"/>
        <v>1.1999999999999999E-6</v>
      </c>
      <c r="H269" s="160">
        <f t="shared" si="31"/>
        <v>0</v>
      </c>
      <c r="I269" s="160">
        <f>'JSM Eingabe+TW'!$K$18*3.6*24</f>
        <v>0</v>
      </c>
      <c r="J269" s="159">
        <f t="shared" si="25"/>
        <v>9.9999999999999995E-7</v>
      </c>
      <c r="K269" s="143">
        <f t="shared" si="26"/>
        <v>9.9999999999999995E-7</v>
      </c>
      <c r="L269" s="161" t="str">
        <f t="shared" si="27"/>
        <v xml:space="preserve"> </v>
      </c>
      <c r="M269" s="162">
        <f t="shared" si="28"/>
        <v>9.9999999999999995E-7</v>
      </c>
      <c r="N269" s="162"/>
      <c r="V269" s="143"/>
      <c r="W269" s="142"/>
      <c r="X269" s="142"/>
      <c r="Y269" s="142"/>
      <c r="Z269" s="142"/>
      <c r="AA269" s="142"/>
    </row>
    <row r="270" spans="2:27" s="141" customFormat="1" x14ac:dyDescent="0.2">
      <c r="B270" s="157">
        <v>37472</v>
      </c>
      <c r="C270" s="158">
        <v>216</v>
      </c>
      <c r="D270" s="159">
        <f>'JSM Eingabe+TW'!DD35</f>
        <v>9.9999999999999995E-7</v>
      </c>
      <c r="E270" s="159">
        <f t="shared" si="29"/>
        <v>0</v>
      </c>
      <c r="F270" s="163">
        <f t="shared" si="32"/>
        <v>9.9999999999999995E-7</v>
      </c>
      <c r="G270" s="160">
        <f t="shared" si="30"/>
        <v>1.1999999999999999E-6</v>
      </c>
      <c r="H270" s="160">
        <f t="shared" si="31"/>
        <v>0</v>
      </c>
      <c r="I270" s="160">
        <f>'JSM Eingabe+TW'!$K$18*3.6*24</f>
        <v>0</v>
      </c>
      <c r="J270" s="159">
        <f t="shared" si="25"/>
        <v>9.9999999999999995E-7</v>
      </c>
      <c r="K270" s="143">
        <f t="shared" si="26"/>
        <v>9.9999999999999995E-7</v>
      </c>
      <c r="L270" s="161" t="str">
        <f t="shared" si="27"/>
        <v xml:space="preserve"> </v>
      </c>
      <c r="M270" s="162">
        <f t="shared" si="28"/>
        <v>9.9999999999999995E-7</v>
      </c>
      <c r="N270" s="162"/>
      <c r="V270" s="143"/>
      <c r="W270" s="142"/>
      <c r="X270" s="142"/>
      <c r="Y270" s="142"/>
      <c r="Z270" s="142"/>
      <c r="AA270" s="142"/>
    </row>
    <row r="271" spans="2:27" s="141" customFormat="1" x14ac:dyDescent="0.2">
      <c r="B271" s="157">
        <v>37473</v>
      </c>
      <c r="C271" s="158">
        <v>217</v>
      </c>
      <c r="D271" s="159">
        <f>'JSM Eingabe+TW'!DD36</f>
        <v>9.9999999999999995E-7</v>
      </c>
      <c r="E271" s="159">
        <f t="shared" si="29"/>
        <v>0</v>
      </c>
      <c r="F271" s="163">
        <f t="shared" si="32"/>
        <v>9.9999999999999995E-7</v>
      </c>
      <c r="G271" s="160">
        <f t="shared" si="30"/>
        <v>1.1999999999999999E-6</v>
      </c>
      <c r="H271" s="160">
        <f t="shared" si="31"/>
        <v>0</v>
      </c>
      <c r="I271" s="160">
        <f>'JSM Eingabe+TW'!$K$18*3.6*24</f>
        <v>0</v>
      </c>
      <c r="J271" s="159">
        <f t="shared" si="25"/>
        <v>9.9999999999999995E-7</v>
      </c>
      <c r="K271" s="143">
        <f t="shared" si="26"/>
        <v>9.9999999999999995E-7</v>
      </c>
      <c r="L271" s="161" t="str">
        <f t="shared" si="27"/>
        <v xml:space="preserve"> </v>
      </c>
      <c r="M271" s="162">
        <f t="shared" si="28"/>
        <v>9.9999999999999995E-7</v>
      </c>
      <c r="N271" s="162"/>
      <c r="V271" s="143"/>
      <c r="W271" s="142"/>
      <c r="X271" s="142"/>
      <c r="Y271" s="142"/>
      <c r="Z271" s="142"/>
      <c r="AA271" s="142"/>
    </row>
    <row r="272" spans="2:27" s="141" customFormat="1" x14ac:dyDescent="0.2">
      <c r="B272" s="157">
        <v>37474</v>
      </c>
      <c r="C272" s="158">
        <v>218</v>
      </c>
      <c r="D272" s="159">
        <f>'JSM Eingabe+TW'!DD37</f>
        <v>9.9999999999999995E-7</v>
      </c>
      <c r="E272" s="159">
        <f t="shared" si="29"/>
        <v>0</v>
      </c>
      <c r="F272" s="163">
        <f t="shared" si="32"/>
        <v>9.9999999999999995E-7</v>
      </c>
      <c r="G272" s="160">
        <f t="shared" si="30"/>
        <v>1.1999999999999999E-6</v>
      </c>
      <c r="H272" s="160">
        <f t="shared" si="31"/>
        <v>0</v>
      </c>
      <c r="I272" s="160">
        <f>'JSM Eingabe+TW'!$K$18*3.6*24</f>
        <v>0</v>
      </c>
      <c r="J272" s="159">
        <f t="shared" si="25"/>
        <v>9.9999999999999995E-7</v>
      </c>
      <c r="K272" s="143">
        <f t="shared" si="26"/>
        <v>9.9999999999999995E-7</v>
      </c>
      <c r="L272" s="161" t="str">
        <f t="shared" si="27"/>
        <v xml:space="preserve"> </v>
      </c>
      <c r="M272" s="162">
        <f t="shared" si="28"/>
        <v>9.9999999999999995E-7</v>
      </c>
      <c r="N272" s="162"/>
      <c r="V272" s="143"/>
      <c r="W272" s="142"/>
      <c r="X272" s="142"/>
      <c r="Y272" s="142"/>
      <c r="Z272" s="142"/>
      <c r="AA272" s="142"/>
    </row>
    <row r="273" spans="2:27" s="141" customFormat="1" x14ac:dyDescent="0.2">
      <c r="B273" s="157">
        <v>37475</v>
      </c>
      <c r="C273" s="158">
        <v>219</v>
      </c>
      <c r="D273" s="159">
        <f>'JSM Eingabe+TW'!DD38</f>
        <v>9.9999999999999995E-7</v>
      </c>
      <c r="E273" s="159">
        <f t="shared" si="29"/>
        <v>0</v>
      </c>
      <c r="F273" s="163">
        <f t="shared" si="32"/>
        <v>9.9999999999999995E-7</v>
      </c>
      <c r="G273" s="160">
        <f t="shared" si="30"/>
        <v>1.1999999999999999E-6</v>
      </c>
      <c r="H273" s="160">
        <f t="shared" si="31"/>
        <v>0</v>
      </c>
      <c r="I273" s="160">
        <f>'JSM Eingabe+TW'!$K$18*3.6*24</f>
        <v>0</v>
      </c>
      <c r="J273" s="159">
        <f t="shared" si="25"/>
        <v>9.9999999999999995E-7</v>
      </c>
      <c r="K273" s="143">
        <f t="shared" si="26"/>
        <v>9.9999999999999995E-7</v>
      </c>
      <c r="L273" s="161" t="str">
        <f t="shared" si="27"/>
        <v xml:space="preserve"> </v>
      </c>
      <c r="M273" s="162">
        <f t="shared" si="28"/>
        <v>9.9999999999999995E-7</v>
      </c>
      <c r="N273" s="162"/>
      <c r="V273" s="143"/>
      <c r="W273" s="142"/>
      <c r="X273" s="142"/>
      <c r="Y273" s="142"/>
      <c r="Z273" s="142"/>
      <c r="AA273" s="142"/>
    </row>
    <row r="274" spans="2:27" s="141" customFormat="1" x14ac:dyDescent="0.2">
      <c r="B274" s="157">
        <v>37476</v>
      </c>
      <c r="C274" s="158">
        <v>220</v>
      </c>
      <c r="D274" s="159">
        <f>'JSM Eingabe+TW'!DD39</f>
        <v>9.9999999999999995E-7</v>
      </c>
      <c r="E274" s="159">
        <f t="shared" si="29"/>
        <v>0</v>
      </c>
      <c r="F274" s="163">
        <f t="shared" si="32"/>
        <v>9.9999999999999995E-7</v>
      </c>
      <c r="G274" s="160">
        <f t="shared" si="30"/>
        <v>1.1999999999999999E-6</v>
      </c>
      <c r="H274" s="160">
        <f t="shared" si="31"/>
        <v>0</v>
      </c>
      <c r="I274" s="160">
        <f>'JSM Eingabe+TW'!$K$18*3.6*24</f>
        <v>0</v>
      </c>
      <c r="J274" s="159">
        <f t="shared" si="25"/>
        <v>9.9999999999999995E-7</v>
      </c>
      <c r="K274" s="143">
        <f t="shared" si="26"/>
        <v>9.9999999999999995E-7</v>
      </c>
      <c r="L274" s="161" t="str">
        <f t="shared" si="27"/>
        <v xml:space="preserve"> </v>
      </c>
      <c r="M274" s="162">
        <f t="shared" si="28"/>
        <v>9.9999999999999995E-7</v>
      </c>
      <c r="N274" s="162"/>
      <c r="V274" s="143"/>
      <c r="W274" s="142"/>
      <c r="X274" s="142"/>
      <c r="Y274" s="142"/>
      <c r="Z274" s="142"/>
      <c r="AA274" s="142"/>
    </row>
    <row r="275" spans="2:27" s="141" customFormat="1" x14ac:dyDescent="0.2">
      <c r="B275" s="157">
        <v>37477</v>
      </c>
      <c r="C275" s="158">
        <v>221</v>
      </c>
      <c r="D275" s="159">
        <f>'JSM Eingabe+TW'!DD40</f>
        <v>9.9999999999999995E-7</v>
      </c>
      <c r="E275" s="159">
        <f t="shared" si="29"/>
        <v>0</v>
      </c>
      <c r="F275" s="163">
        <f t="shared" si="32"/>
        <v>9.9999999999999995E-7</v>
      </c>
      <c r="G275" s="160">
        <f t="shared" si="30"/>
        <v>1.1999999999999999E-6</v>
      </c>
      <c r="H275" s="160">
        <f t="shared" si="31"/>
        <v>0</v>
      </c>
      <c r="I275" s="160">
        <f>'JSM Eingabe+TW'!$K$18*3.6*24</f>
        <v>0</v>
      </c>
      <c r="J275" s="159">
        <f t="shared" si="25"/>
        <v>9.9999999999999995E-7</v>
      </c>
      <c r="K275" s="143">
        <f t="shared" si="26"/>
        <v>9.9999999999999995E-7</v>
      </c>
      <c r="L275" s="161" t="str">
        <f t="shared" si="27"/>
        <v xml:space="preserve"> </v>
      </c>
      <c r="M275" s="162">
        <f t="shared" si="28"/>
        <v>9.9999999999999995E-7</v>
      </c>
      <c r="N275" s="162"/>
      <c r="V275" s="143"/>
      <c r="W275" s="142"/>
      <c r="X275" s="142"/>
      <c r="Y275" s="142"/>
      <c r="Z275" s="142"/>
      <c r="AA275" s="142"/>
    </row>
    <row r="276" spans="2:27" s="141" customFormat="1" x14ac:dyDescent="0.2">
      <c r="B276" s="157">
        <v>37478</v>
      </c>
      <c r="C276" s="158">
        <v>222</v>
      </c>
      <c r="D276" s="159">
        <f>'JSM Eingabe+TW'!DD41</f>
        <v>9.9999999999999995E-7</v>
      </c>
      <c r="E276" s="159">
        <f t="shared" si="29"/>
        <v>0</v>
      </c>
      <c r="F276" s="163">
        <f t="shared" si="32"/>
        <v>9.9999999999999995E-7</v>
      </c>
      <c r="G276" s="160">
        <f t="shared" si="30"/>
        <v>1.1999999999999999E-6</v>
      </c>
      <c r="H276" s="160">
        <f t="shared" si="31"/>
        <v>0</v>
      </c>
      <c r="I276" s="160">
        <f>'JSM Eingabe+TW'!$K$18*3.6*24</f>
        <v>0</v>
      </c>
      <c r="J276" s="159">
        <f t="shared" si="25"/>
        <v>9.9999999999999995E-7</v>
      </c>
      <c r="K276" s="143">
        <f t="shared" si="26"/>
        <v>9.9999999999999995E-7</v>
      </c>
      <c r="L276" s="161" t="str">
        <f t="shared" si="27"/>
        <v xml:space="preserve"> </v>
      </c>
      <c r="M276" s="162">
        <f t="shared" si="28"/>
        <v>9.9999999999999995E-7</v>
      </c>
      <c r="N276" s="162"/>
      <c r="V276" s="143"/>
      <c r="W276" s="142"/>
      <c r="X276" s="142"/>
      <c r="Y276" s="142"/>
      <c r="Z276" s="142"/>
      <c r="AA276" s="142"/>
    </row>
    <row r="277" spans="2:27" s="141" customFormat="1" x14ac:dyDescent="0.2">
      <c r="B277" s="157">
        <v>37479</v>
      </c>
      <c r="C277" s="158">
        <v>223</v>
      </c>
      <c r="D277" s="159">
        <f>'JSM Eingabe+TW'!DD42</f>
        <v>9.9999999999999995E-7</v>
      </c>
      <c r="E277" s="159">
        <f t="shared" si="29"/>
        <v>0</v>
      </c>
      <c r="F277" s="163">
        <f t="shared" si="32"/>
        <v>9.9999999999999995E-7</v>
      </c>
      <c r="G277" s="160">
        <f t="shared" si="30"/>
        <v>1.1999999999999999E-6</v>
      </c>
      <c r="H277" s="160">
        <f t="shared" si="31"/>
        <v>0</v>
      </c>
      <c r="I277" s="160">
        <f>'JSM Eingabe+TW'!$K$18*3.6*24</f>
        <v>0</v>
      </c>
      <c r="J277" s="159">
        <f t="shared" si="25"/>
        <v>9.9999999999999995E-7</v>
      </c>
      <c r="K277" s="143">
        <f t="shared" si="26"/>
        <v>9.9999999999999995E-7</v>
      </c>
      <c r="L277" s="161" t="str">
        <f t="shared" si="27"/>
        <v xml:space="preserve"> </v>
      </c>
      <c r="M277" s="162">
        <f t="shared" si="28"/>
        <v>9.9999999999999995E-7</v>
      </c>
      <c r="N277" s="162"/>
      <c r="V277" s="143"/>
      <c r="W277" s="142"/>
      <c r="X277" s="142"/>
      <c r="Y277" s="142"/>
      <c r="Z277" s="142"/>
      <c r="AA277" s="142"/>
    </row>
    <row r="278" spans="2:27" s="141" customFormat="1" x14ac:dyDescent="0.2">
      <c r="B278" s="157">
        <v>37480</v>
      </c>
      <c r="C278" s="158">
        <v>224</v>
      </c>
      <c r="D278" s="159">
        <f>'JSM Eingabe+TW'!DD43</f>
        <v>9.9999999999999995E-7</v>
      </c>
      <c r="E278" s="159">
        <f t="shared" si="29"/>
        <v>0</v>
      </c>
      <c r="F278" s="163">
        <f t="shared" si="32"/>
        <v>9.9999999999999995E-7</v>
      </c>
      <c r="G278" s="160">
        <f t="shared" si="30"/>
        <v>1.1999999999999999E-6</v>
      </c>
      <c r="H278" s="160">
        <f t="shared" si="31"/>
        <v>0</v>
      </c>
      <c r="I278" s="160">
        <f>'JSM Eingabe+TW'!$K$18*3.6*24</f>
        <v>0</v>
      </c>
      <c r="J278" s="159">
        <f t="shared" si="25"/>
        <v>9.9999999999999995E-7</v>
      </c>
      <c r="K278" s="143">
        <f t="shared" si="26"/>
        <v>9.9999999999999995E-7</v>
      </c>
      <c r="L278" s="161" t="str">
        <f t="shared" si="27"/>
        <v xml:space="preserve"> </v>
      </c>
      <c r="M278" s="162">
        <f t="shared" si="28"/>
        <v>9.9999999999999995E-7</v>
      </c>
      <c r="N278" s="162"/>
      <c r="V278" s="143"/>
      <c r="W278" s="142"/>
      <c r="X278" s="142"/>
      <c r="Y278" s="142"/>
      <c r="Z278" s="142"/>
      <c r="AA278" s="142"/>
    </row>
    <row r="279" spans="2:27" s="141" customFormat="1" x14ac:dyDescent="0.2">
      <c r="B279" s="157">
        <v>37481</v>
      </c>
      <c r="C279" s="158">
        <v>225</v>
      </c>
      <c r="D279" s="159">
        <f>'JSM Eingabe+TW'!DD44</f>
        <v>9.9999999999999995E-7</v>
      </c>
      <c r="E279" s="159">
        <f t="shared" si="29"/>
        <v>0</v>
      </c>
      <c r="F279" s="163">
        <f t="shared" si="32"/>
        <v>9.9999999999999995E-7</v>
      </c>
      <c r="G279" s="160">
        <f t="shared" si="30"/>
        <v>1.1999999999999999E-6</v>
      </c>
      <c r="H279" s="160">
        <f t="shared" si="31"/>
        <v>0</v>
      </c>
      <c r="I279" s="160">
        <f>'JSM Eingabe+TW'!$K$18*3.6*24</f>
        <v>0</v>
      </c>
      <c r="J279" s="159">
        <f t="shared" si="25"/>
        <v>9.9999999999999995E-7</v>
      </c>
      <c r="K279" s="143">
        <f t="shared" si="26"/>
        <v>9.9999999999999995E-7</v>
      </c>
      <c r="L279" s="161" t="str">
        <f t="shared" si="27"/>
        <v xml:space="preserve"> </v>
      </c>
      <c r="M279" s="162">
        <f t="shared" si="28"/>
        <v>9.9999999999999995E-7</v>
      </c>
      <c r="N279" s="162"/>
      <c r="V279" s="143"/>
      <c r="W279" s="142"/>
      <c r="X279" s="142"/>
      <c r="Y279" s="142"/>
      <c r="Z279" s="142"/>
      <c r="AA279" s="142"/>
    </row>
    <row r="280" spans="2:27" s="141" customFormat="1" x14ac:dyDescent="0.2">
      <c r="B280" s="157">
        <v>37482</v>
      </c>
      <c r="C280" s="158">
        <v>226</v>
      </c>
      <c r="D280" s="159">
        <f>'JSM Eingabe+TW'!DD45</f>
        <v>9.9999999999999995E-7</v>
      </c>
      <c r="E280" s="159">
        <f t="shared" si="29"/>
        <v>0</v>
      </c>
      <c r="F280" s="163">
        <f t="shared" si="32"/>
        <v>9.9999999999999995E-7</v>
      </c>
      <c r="G280" s="160">
        <f t="shared" si="30"/>
        <v>1.1999999999999999E-6</v>
      </c>
      <c r="H280" s="160">
        <f t="shared" si="31"/>
        <v>0</v>
      </c>
      <c r="I280" s="160">
        <f>'JSM Eingabe+TW'!$K$18*3.6*24</f>
        <v>0</v>
      </c>
      <c r="J280" s="159">
        <f t="shared" si="25"/>
        <v>9.9999999999999995E-7</v>
      </c>
      <c r="K280" s="143">
        <f t="shared" si="26"/>
        <v>9.9999999999999995E-7</v>
      </c>
      <c r="L280" s="161" t="str">
        <f t="shared" si="27"/>
        <v xml:space="preserve"> </v>
      </c>
      <c r="M280" s="162">
        <f t="shared" si="28"/>
        <v>9.9999999999999995E-7</v>
      </c>
      <c r="N280" s="162"/>
      <c r="V280" s="143"/>
      <c r="W280" s="142"/>
      <c r="X280" s="142"/>
      <c r="Y280" s="142"/>
      <c r="Z280" s="142"/>
      <c r="AA280" s="142"/>
    </row>
    <row r="281" spans="2:27" s="141" customFormat="1" x14ac:dyDescent="0.2">
      <c r="B281" s="157">
        <v>37483</v>
      </c>
      <c r="C281" s="158">
        <v>227</v>
      </c>
      <c r="D281" s="159">
        <f>'JSM Eingabe+TW'!DD46</f>
        <v>9.9999999999999995E-7</v>
      </c>
      <c r="E281" s="159">
        <f t="shared" si="29"/>
        <v>0</v>
      </c>
      <c r="F281" s="163">
        <f t="shared" si="32"/>
        <v>9.9999999999999995E-7</v>
      </c>
      <c r="G281" s="160">
        <f t="shared" si="30"/>
        <v>1.1999999999999999E-6</v>
      </c>
      <c r="H281" s="160">
        <f t="shared" si="31"/>
        <v>0</v>
      </c>
      <c r="I281" s="160">
        <f>'JSM Eingabe+TW'!$K$18*3.6*24</f>
        <v>0</v>
      </c>
      <c r="J281" s="159">
        <f t="shared" si="25"/>
        <v>9.9999999999999995E-7</v>
      </c>
      <c r="K281" s="143">
        <f t="shared" si="26"/>
        <v>9.9999999999999995E-7</v>
      </c>
      <c r="L281" s="161" t="str">
        <f t="shared" si="27"/>
        <v xml:space="preserve"> </v>
      </c>
      <c r="M281" s="162">
        <f t="shared" si="28"/>
        <v>9.9999999999999995E-7</v>
      </c>
      <c r="N281" s="162"/>
      <c r="V281" s="143"/>
      <c r="W281" s="142"/>
      <c r="X281" s="142"/>
      <c r="Y281" s="142"/>
      <c r="Z281" s="142"/>
      <c r="AA281" s="142"/>
    </row>
    <row r="282" spans="2:27" s="141" customFormat="1" x14ac:dyDescent="0.2">
      <c r="B282" s="157">
        <v>37484</v>
      </c>
      <c r="C282" s="158">
        <v>228</v>
      </c>
      <c r="D282" s="159">
        <f>'JSM Eingabe+TW'!DD47</f>
        <v>9.9999999999999995E-7</v>
      </c>
      <c r="E282" s="159">
        <f t="shared" si="29"/>
        <v>0</v>
      </c>
      <c r="F282" s="163">
        <f t="shared" si="32"/>
        <v>9.9999999999999995E-7</v>
      </c>
      <c r="G282" s="160">
        <f t="shared" si="30"/>
        <v>1.1999999999999999E-6</v>
      </c>
      <c r="H282" s="160">
        <f t="shared" si="31"/>
        <v>0</v>
      </c>
      <c r="I282" s="160">
        <f>'JSM Eingabe+TW'!$K$18*3.6*24</f>
        <v>0</v>
      </c>
      <c r="J282" s="159">
        <f t="shared" si="25"/>
        <v>9.9999999999999995E-7</v>
      </c>
      <c r="K282" s="143">
        <f t="shared" si="26"/>
        <v>9.9999999999999995E-7</v>
      </c>
      <c r="L282" s="161" t="str">
        <f t="shared" si="27"/>
        <v xml:space="preserve"> </v>
      </c>
      <c r="M282" s="162">
        <f t="shared" si="28"/>
        <v>9.9999999999999995E-7</v>
      </c>
      <c r="N282" s="162"/>
      <c r="V282" s="143"/>
      <c r="W282" s="142"/>
      <c r="X282" s="142"/>
      <c r="Y282" s="142"/>
      <c r="Z282" s="142"/>
      <c r="AA282" s="142"/>
    </row>
    <row r="283" spans="2:27" s="141" customFormat="1" x14ac:dyDescent="0.2">
      <c r="B283" s="157">
        <v>37485</v>
      </c>
      <c r="C283" s="158">
        <v>229</v>
      </c>
      <c r="D283" s="159">
        <f>'JSM Eingabe+TW'!DD48</f>
        <v>9.9999999999999995E-7</v>
      </c>
      <c r="E283" s="159">
        <f t="shared" si="29"/>
        <v>0</v>
      </c>
      <c r="F283" s="163">
        <f t="shared" si="32"/>
        <v>9.9999999999999995E-7</v>
      </c>
      <c r="G283" s="160">
        <f t="shared" si="30"/>
        <v>1.1999999999999999E-6</v>
      </c>
      <c r="H283" s="160">
        <f t="shared" si="31"/>
        <v>0</v>
      </c>
      <c r="I283" s="160">
        <f>'JSM Eingabe+TW'!$K$18*3.6*24</f>
        <v>0</v>
      </c>
      <c r="J283" s="159">
        <f t="shared" si="25"/>
        <v>9.9999999999999995E-7</v>
      </c>
      <c r="K283" s="143">
        <f t="shared" si="26"/>
        <v>9.9999999999999995E-7</v>
      </c>
      <c r="L283" s="161" t="str">
        <f t="shared" si="27"/>
        <v xml:space="preserve"> </v>
      </c>
      <c r="M283" s="162">
        <f t="shared" si="28"/>
        <v>9.9999999999999995E-7</v>
      </c>
      <c r="N283" s="162"/>
      <c r="V283" s="143"/>
      <c r="W283" s="142"/>
      <c r="X283" s="142"/>
      <c r="Y283" s="142"/>
      <c r="Z283" s="142"/>
      <c r="AA283" s="142"/>
    </row>
    <row r="284" spans="2:27" s="141" customFormat="1" x14ac:dyDescent="0.2">
      <c r="B284" s="157">
        <v>37486</v>
      </c>
      <c r="C284" s="158">
        <v>230</v>
      </c>
      <c r="D284" s="159">
        <f>'JSM Eingabe+TW'!DD49</f>
        <v>9.9999999999999995E-7</v>
      </c>
      <c r="E284" s="159">
        <f t="shared" si="29"/>
        <v>0</v>
      </c>
      <c r="F284" s="163">
        <f t="shared" si="32"/>
        <v>9.9999999999999995E-7</v>
      </c>
      <c r="G284" s="160">
        <f t="shared" si="30"/>
        <v>1.1999999999999999E-6</v>
      </c>
      <c r="H284" s="160">
        <f t="shared" si="31"/>
        <v>0</v>
      </c>
      <c r="I284" s="160">
        <f>'JSM Eingabe+TW'!$K$18*3.6*24</f>
        <v>0</v>
      </c>
      <c r="J284" s="159">
        <f t="shared" si="25"/>
        <v>9.9999999999999995E-7</v>
      </c>
      <c r="K284" s="143">
        <f t="shared" si="26"/>
        <v>9.9999999999999995E-7</v>
      </c>
      <c r="L284" s="161" t="str">
        <f t="shared" si="27"/>
        <v xml:space="preserve"> </v>
      </c>
      <c r="M284" s="162">
        <f t="shared" si="28"/>
        <v>9.9999999999999995E-7</v>
      </c>
      <c r="N284" s="162"/>
      <c r="V284" s="143"/>
      <c r="W284" s="142"/>
      <c r="X284" s="142"/>
      <c r="Y284" s="142"/>
      <c r="Z284" s="142"/>
      <c r="AA284" s="142"/>
    </row>
    <row r="285" spans="2:27" s="141" customFormat="1" x14ac:dyDescent="0.2">
      <c r="B285" s="157">
        <v>37487</v>
      </c>
      <c r="C285" s="158">
        <v>231</v>
      </c>
      <c r="D285" s="159">
        <f>'JSM Eingabe+TW'!DD50</f>
        <v>9.9999999999999995E-7</v>
      </c>
      <c r="E285" s="159">
        <f t="shared" si="29"/>
        <v>0</v>
      </c>
      <c r="F285" s="163">
        <f t="shared" si="32"/>
        <v>9.9999999999999995E-7</v>
      </c>
      <c r="G285" s="160">
        <f t="shared" si="30"/>
        <v>1.1999999999999999E-6</v>
      </c>
      <c r="H285" s="160">
        <f t="shared" si="31"/>
        <v>0</v>
      </c>
      <c r="I285" s="160">
        <f>'JSM Eingabe+TW'!$K$18*3.6*24</f>
        <v>0</v>
      </c>
      <c r="J285" s="159">
        <f t="shared" si="25"/>
        <v>9.9999999999999995E-7</v>
      </c>
      <c r="K285" s="143">
        <f t="shared" si="26"/>
        <v>9.9999999999999995E-7</v>
      </c>
      <c r="L285" s="161" t="str">
        <f t="shared" si="27"/>
        <v xml:space="preserve"> </v>
      </c>
      <c r="M285" s="162">
        <f t="shared" si="28"/>
        <v>9.9999999999999995E-7</v>
      </c>
      <c r="N285" s="162"/>
      <c r="V285" s="143"/>
      <c r="W285" s="142"/>
      <c r="X285" s="142"/>
      <c r="Y285" s="142"/>
      <c r="Z285" s="142"/>
      <c r="AA285" s="142"/>
    </row>
    <row r="286" spans="2:27" s="141" customFormat="1" x14ac:dyDescent="0.2">
      <c r="B286" s="157">
        <v>37488</v>
      </c>
      <c r="C286" s="158">
        <v>232</v>
      </c>
      <c r="D286" s="159">
        <f>'JSM Eingabe+TW'!DD51</f>
        <v>9.9999999999999995E-7</v>
      </c>
      <c r="E286" s="159">
        <f t="shared" si="29"/>
        <v>0</v>
      </c>
      <c r="F286" s="163">
        <f t="shared" si="32"/>
        <v>9.9999999999999995E-7</v>
      </c>
      <c r="G286" s="160">
        <f t="shared" si="30"/>
        <v>1.1999999999999999E-6</v>
      </c>
      <c r="H286" s="160">
        <f t="shared" si="31"/>
        <v>0</v>
      </c>
      <c r="I286" s="160">
        <f>'JSM Eingabe+TW'!$K$18*3.6*24</f>
        <v>0</v>
      </c>
      <c r="J286" s="159">
        <f t="shared" si="25"/>
        <v>9.9999999999999995E-7</v>
      </c>
      <c r="K286" s="143">
        <f t="shared" si="26"/>
        <v>9.9999999999999995E-7</v>
      </c>
      <c r="L286" s="161" t="str">
        <f t="shared" si="27"/>
        <v xml:space="preserve"> </v>
      </c>
      <c r="M286" s="162">
        <f t="shared" si="28"/>
        <v>9.9999999999999995E-7</v>
      </c>
      <c r="N286" s="162"/>
      <c r="V286" s="143"/>
      <c r="W286" s="142"/>
      <c r="X286" s="142"/>
      <c r="Y286" s="142"/>
      <c r="Z286" s="142"/>
      <c r="AA286" s="142"/>
    </row>
    <row r="287" spans="2:27" s="141" customFormat="1" x14ac:dyDescent="0.2">
      <c r="B287" s="157">
        <v>37489</v>
      </c>
      <c r="C287" s="158">
        <v>233</v>
      </c>
      <c r="D287" s="159">
        <f>'JSM Eingabe+TW'!DD52</f>
        <v>9.9999999999999995E-7</v>
      </c>
      <c r="E287" s="159">
        <f t="shared" si="29"/>
        <v>0</v>
      </c>
      <c r="F287" s="163">
        <f t="shared" si="32"/>
        <v>9.9999999999999995E-7</v>
      </c>
      <c r="G287" s="160">
        <f t="shared" si="30"/>
        <v>1.1999999999999999E-6</v>
      </c>
      <c r="H287" s="160">
        <f t="shared" si="31"/>
        <v>0</v>
      </c>
      <c r="I287" s="160">
        <f>'JSM Eingabe+TW'!$K$18*3.6*24</f>
        <v>0</v>
      </c>
      <c r="J287" s="159">
        <f t="shared" si="25"/>
        <v>9.9999999999999995E-7</v>
      </c>
      <c r="K287" s="143">
        <f t="shared" si="26"/>
        <v>9.9999999999999995E-7</v>
      </c>
      <c r="L287" s="161" t="str">
        <f t="shared" si="27"/>
        <v xml:space="preserve"> </v>
      </c>
      <c r="M287" s="162">
        <f t="shared" si="28"/>
        <v>9.9999999999999995E-7</v>
      </c>
      <c r="N287" s="162"/>
      <c r="V287" s="143"/>
      <c r="W287" s="142"/>
      <c r="X287" s="142"/>
      <c r="Y287" s="142"/>
      <c r="Z287" s="142"/>
      <c r="AA287" s="142"/>
    </row>
    <row r="288" spans="2:27" s="141" customFormat="1" x14ac:dyDescent="0.2">
      <c r="B288" s="157">
        <v>37490</v>
      </c>
      <c r="C288" s="158">
        <v>234</v>
      </c>
      <c r="D288" s="159">
        <f>'JSM Eingabe+TW'!DD53</f>
        <v>9.9999999999999995E-7</v>
      </c>
      <c r="E288" s="159">
        <f t="shared" si="29"/>
        <v>0</v>
      </c>
      <c r="F288" s="163">
        <f t="shared" si="32"/>
        <v>9.9999999999999995E-7</v>
      </c>
      <c r="G288" s="160">
        <f t="shared" si="30"/>
        <v>1.1999999999999999E-6</v>
      </c>
      <c r="H288" s="160">
        <f t="shared" si="31"/>
        <v>0</v>
      </c>
      <c r="I288" s="160">
        <f>'JSM Eingabe+TW'!$K$18*3.6*24</f>
        <v>0</v>
      </c>
      <c r="J288" s="159">
        <f t="shared" si="25"/>
        <v>9.9999999999999995E-7</v>
      </c>
      <c r="K288" s="143">
        <f t="shared" si="26"/>
        <v>9.9999999999999995E-7</v>
      </c>
      <c r="L288" s="161" t="str">
        <f t="shared" si="27"/>
        <v xml:space="preserve"> </v>
      </c>
      <c r="M288" s="162">
        <f t="shared" si="28"/>
        <v>9.9999999999999995E-7</v>
      </c>
      <c r="N288" s="162"/>
      <c r="V288" s="143"/>
      <c r="W288" s="142"/>
      <c r="X288" s="142"/>
      <c r="Y288" s="142"/>
      <c r="Z288" s="142"/>
      <c r="AA288" s="142"/>
    </row>
    <row r="289" spans="2:27" s="141" customFormat="1" x14ac:dyDescent="0.2">
      <c r="B289" s="157">
        <v>37491</v>
      </c>
      <c r="C289" s="158">
        <v>235</v>
      </c>
      <c r="D289" s="159">
        <f>'JSM Eingabe+TW'!DD54</f>
        <v>9.9999999999999995E-7</v>
      </c>
      <c r="E289" s="159">
        <f t="shared" si="29"/>
        <v>0</v>
      </c>
      <c r="F289" s="163">
        <f t="shared" si="32"/>
        <v>9.9999999999999995E-7</v>
      </c>
      <c r="G289" s="160">
        <f t="shared" si="30"/>
        <v>1.1999999999999999E-6</v>
      </c>
      <c r="H289" s="160">
        <f t="shared" si="31"/>
        <v>0</v>
      </c>
      <c r="I289" s="160">
        <f>'JSM Eingabe+TW'!$K$18*3.6*24</f>
        <v>0</v>
      </c>
      <c r="J289" s="159">
        <f t="shared" si="25"/>
        <v>9.9999999999999995E-7</v>
      </c>
      <c r="K289" s="143">
        <f t="shared" si="26"/>
        <v>9.9999999999999995E-7</v>
      </c>
      <c r="L289" s="161" t="str">
        <f t="shared" si="27"/>
        <v xml:space="preserve"> </v>
      </c>
      <c r="M289" s="162">
        <f t="shared" si="28"/>
        <v>9.9999999999999995E-7</v>
      </c>
      <c r="N289" s="162"/>
      <c r="V289" s="143"/>
      <c r="W289" s="142"/>
      <c r="X289" s="142"/>
      <c r="Y289" s="142"/>
      <c r="Z289" s="142"/>
      <c r="AA289" s="142"/>
    </row>
    <row r="290" spans="2:27" s="141" customFormat="1" x14ac:dyDescent="0.2">
      <c r="B290" s="157">
        <v>37492</v>
      </c>
      <c r="C290" s="158">
        <v>236</v>
      </c>
      <c r="D290" s="159">
        <f>'JSM Eingabe+TW'!DD55</f>
        <v>9.9999999999999995E-7</v>
      </c>
      <c r="E290" s="159">
        <f t="shared" si="29"/>
        <v>0</v>
      </c>
      <c r="F290" s="163">
        <f t="shared" si="32"/>
        <v>9.9999999999999995E-7</v>
      </c>
      <c r="G290" s="160">
        <f t="shared" si="30"/>
        <v>1.1999999999999999E-6</v>
      </c>
      <c r="H290" s="160">
        <f t="shared" si="31"/>
        <v>0</v>
      </c>
      <c r="I290" s="160">
        <f>'JSM Eingabe+TW'!$K$18*3.6*24</f>
        <v>0</v>
      </c>
      <c r="J290" s="159">
        <f t="shared" si="25"/>
        <v>9.9999999999999995E-7</v>
      </c>
      <c r="K290" s="143">
        <f t="shared" si="26"/>
        <v>9.9999999999999995E-7</v>
      </c>
      <c r="L290" s="161" t="str">
        <f t="shared" si="27"/>
        <v xml:space="preserve"> </v>
      </c>
      <c r="M290" s="162">
        <f t="shared" si="28"/>
        <v>9.9999999999999995E-7</v>
      </c>
      <c r="N290" s="162"/>
      <c r="V290" s="143"/>
      <c r="W290" s="142"/>
      <c r="X290" s="142"/>
      <c r="Y290" s="142"/>
      <c r="Z290" s="142"/>
      <c r="AA290" s="142"/>
    </row>
    <row r="291" spans="2:27" s="141" customFormat="1" x14ac:dyDescent="0.2">
      <c r="B291" s="157">
        <v>37493</v>
      </c>
      <c r="C291" s="158">
        <v>237</v>
      </c>
      <c r="D291" s="159">
        <f>'JSM Eingabe+TW'!DD56</f>
        <v>9.9999999999999995E-7</v>
      </c>
      <c r="E291" s="159">
        <f t="shared" si="29"/>
        <v>0</v>
      </c>
      <c r="F291" s="163">
        <f t="shared" si="32"/>
        <v>9.9999999999999995E-7</v>
      </c>
      <c r="G291" s="160">
        <f t="shared" si="30"/>
        <v>1.1999999999999999E-6</v>
      </c>
      <c r="H291" s="160">
        <f t="shared" si="31"/>
        <v>0</v>
      </c>
      <c r="I291" s="160">
        <f>'JSM Eingabe+TW'!$K$18*3.6*24</f>
        <v>0</v>
      </c>
      <c r="J291" s="159">
        <f t="shared" si="25"/>
        <v>9.9999999999999995E-7</v>
      </c>
      <c r="K291" s="143">
        <f t="shared" si="26"/>
        <v>9.9999999999999995E-7</v>
      </c>
      <c r="L291" s="161" t="str">
        <f t="shared" si="27"/>
        <v xml:space="preserve"> </v>
      </c>
      <c r="M291" s="162">
        <f t="shared" si="28"/>
        <v>9.9999999999999995E-7</v>
      </c>
      <c r="N291" s="162"/>
      <c r="V291" s="143"/>
      <c r="W291" s="142"/>
      <c r="X291" s="142"/>
      <c r="Y291" s="142"/>
      <c r="Z291" s="142"/>
      <c r="AA291" s="142"/>
    </row>
    <row r="292" spans="2:27" s="141" customFormat="1" x14ac:dyDescent="0.2">
      <c r="B292" s="157">
        <v>37494</v>
      </c>
      <c r="C292" s="158">
        <v>238</v>
      </c>
      <c r="D292" s="159">
        <f>'JSM Eingabe+TW'!DD57</f>
        <v>9.9999999999999995E-7</v>
      </c>
      <c r="E292" s="159">
        <f t="shared" si="29"/>
        <v>0</v>
      </c>
      <c r="F292" s="163">
        <f t="shared" si="32"/>
        <v>9.9999999999999995E-7</v>
      </c>
      <c r="G292" s="160">
        <f t="shared" si="30"/>
        <v>1.1999999999999999E-6</v>
      </c>
      <c r="H292" s="160">
        <f t="shared" si="31"/>
        <v>0</v>
      </c>
      <c r="I292" s="160">
        <f>'JSM Eingabe+TW'!$K$18*3.6*24</f>
        <v>0</v>
      </c>
      <c r="J292" s="159">
        <f t="shared" si="25"/>
        <v>9.9999999999999995E-7</v>
      </c>
      <c r="K292" s="143">
        <f t="shared" si="26"/>
        <v>9.9999999999999995E-7</v>
      </c>
      <c r="L292" s="161" t="str">
        <f t="shared" si="27"/>
        <v xml:space="preserve"> </v>
      </c>
      <c r="M292" s="162">
        <f t="shared" si="28"/>
        <v>9.9999999999999995E-7</v>
      </c>
      <c r="N292" s="162"/>
      <c r="V292" s="143"/>
      <c r="W292" s="142"/>
      <c r="X292" s="142"/>
      <c r="Y292" s="142"/>
      <c r="Z292" s="142"/>
      <c r="AA292" s="142"/>
    </row>
    <row r="293" spans="2:27" s="141" customFormat="1" x14ac:dyDescent="0.2">
      <c r="B293" s="157">
        <v>37495</v>
      </c>
      <c r="C293" s="158">
        <v>239</v>
      </c>
      <c r="D293" s="159">
        <f>'JSM Eingabe+TW'!DD58</f>
        <v>9.9999999999999995E-7</v>
      </c>
      <c r="E293" s="159">
        <f t="shared" si="29"/>
        <v>0</v>
      </c>
      <c r="F293" s="163">
        <f t="shared" si="32"/>
        <v>9.9999999999999995E-7</v>
      </c>
      <c r="G293" s="160">
        <f t="shared" si="30"/>
        <v>1.1999999999999999E-6</v>
      </c>
      <c r="H293" s="160">
        <f t="shared" si="31"/>
        <v>0</v>
      </c>
      <c r="I293" s="160">
        <f>'JSM Eingabe+TW'!$K$18*3.6*24</f>
        <v>0</v>
      </c>
      <c r="J293" s="159">
        <f t="shared" si="25"/>
        <v>9.9999999999999995E-7</v>
      </c>
      <c r="K293" s="143">
        <f t="shared" si="26"/>
        <v>9.9999999999999995E-7</v>
      </c>
      <c r="L293" s="161" t="str">
        <f t="shared" si="27"/>
        <v xml:space="preserve"> </v>
      </c>
      <c r="M293" s="162">
        <f t="shared" si="28"/>
        <v>9.9999999999999995E-7</v>
      </c>
      <c r="N293" s="162"/>
      <c r="V293" s="143"/>
      <c r="W293" s="142"/>
      <c r="X293" s="142"/>
      <c r="Y293" s="142"/>
      <c r="Z293" s="142"/>
      <c r="AA293" s="142"/>
    </row>
    <row r="294" spans="2:27" s="141" customFormat="1" x14ac:dyDescent="0.2">
      <c r="B294" s="157">
        <v>37496</v>
      </c>
      <c r="C294" s="158">
        <v>240</v>
      </c>
      <c r="D294" s="159">
        <f>'JSM Eingabe+TW'!DD59</f>
        <v>9.9999999999999995E-7</v>
      </c>
      <c r="E294" s="159">
        <f t="shared" si="29"/>
        <v>0</v>
      </c>
      <c r="F294" s="163">
        <f t="shared" si="32"/>
        <v>9.9999999999999995E-7</v>
      </c>
      <c r="G294" s="160">
        <f t="shared" si="30"/>
        <v>1.1999999999999999E-6</v>
      </c>
      <c r="H294" s="160">
        <f t="shared" si="31"/>
        <v>0</v>
      </c>
      <c r="I294" s="160">
        <f>'JSM Eingabe+TW'!$K$18*3.6*24</f>
        <v>0</v>
      </c>
      <c r="J294" s="159">
        <f t="shared" si="25"/>
        <v>9.9999999999999995E-7</v>
      </c>
      <c r="K294" s="143">
        <f t="shared" si="26"/>
        <v>9.9999999999999995E-7</v>
      </c>
      <c r="L294" s="161" t="str">
        <f t="shared" si="27"/>
        <v xml:space="preserve"> </v>
      </c>
      <c r="M294" s="162">
        <f t="shared" si="28"/>
        <v>9.9999999999999995E-7</v>
      </c>
      <c r="N294" s="162"/>
      <c r="V294" s="143"/>
      <c r="W294" s="142"/>
      <c r="X294" s="142"/>
      <c r="Y294" s="142"/>
      <c r="Z294" s="142"/>
      <c r="AA294" s="142"/>
    </row>
    <row r="295" spans="2:27" s="141" customFormat="1" x14ac:dyDescent="0.2">
      <c r="B295" s="157">
        <v>37497</v>
      </c>
      <c r="C295" s="158">
        <v>241</v>
      </c>
      <c r="D295" s="159">
        <f>'JSM Eingabe+TW'!DD60</f>
        <v>9.9999999999999995E-7</v>
      </c>
      <c r="E295" s="159">
        <f t="shared" si="29"/>
        <v>0</v>
      </c>
      <c r="F295" s="163">
        <f t="shared" si="32"/>
        <v>9.9999999999999995E-7</v>
      </c>
      <c r="G295" s="160">
        <f t="shared" si="30"/>
        <v>1.1999999999999999E-6</v>
      </c>
      <c r="H295" s="160">
        <f t="shared" si="31"/>
        <v>0</v>
      </c>
      <c r="I295" s="160">
        <f>'JSM Eingabe+TW'!$K$18*3.6*24</f>
        <v>0</v>
      </c>
      <c r="J295" s="159">
        <f t="shared" si="25"/>
        <v>9.9999999999999995E-7</v>
      </c>
      <c r="K295" s="143">
        <f t="shared" si="26"/>
        <v>9.9999999999999995E-7</v>
      </c>
      <c r="L295" s="161" t="str">
        <f t="shared" si="27"/>
        <v xml:space="preserve"> </v>
      </c>
      <c r="M295" s="162">
        <f t="shared" si="28"/>
        <v>9.9999999999999995E-7</v>
      </c>
      <c r="N295" s="162"/>
      <c r="V295" s="143"/>
      <c r="W295" s="142"/>
      <c r="X295" s="142"/>
      <c r="Y295" s="142"/>
      <c r="Z295" s="142"/>
      <c r="AA295" s="142"/>
    </row>
    <row r="296" spans="2:27" s="141" customFormat="1" x14ac:dyDescent="0.2">
      <c r="B296" s="157">
        <v>37498</v>
      </c>
      <c r="C296" s="158">
        <v>242</v>
      </c>
      <c r="D296" s="159">
        <f>'JSM Eingabe+TW'!DD61</f>
        <v>9.9999999999999995E-7</v>
      </c>
      <c r="E296" s="159">
        <f t="shared" si="29"/>
        <v>0</v>
      </c>
      <c r="F296" s="163">
        <f t="shared" si="32"/>
        <v>9.9999999999999995E-7</v>
      </c>
      <c r="G296" s="160">
        <f t="shared" si="30"/>
        <v>1.1999999999999999E-6</v>
      </c>
      <c r="H296" s="160">
        <f t="shared" si="31"/>
        <v>0</v>
      </c>
      <c r="I296" s="160">
        <f>'JSM Eingabe+TW'!$K$18*3.6*24</f>
        <v>0</v>
      </c>
      <c r="J296" s="159">
        <f t="shared" si="25"/>
        <v>9.9999999999999995E-7</v>
      </c>
      <c r="K296" s="143">
        <f t="shared" si="26"/>
        <v>9.9999999999999995E-7</v>
      </c>
      <c r="L296" s="161" t="str">
        <f t="shared" si="27"/>
        <v xml:space="preserve"> </v>
      </c>
      <c r="M296" s="162">
        <f t="shared" si="28"/>
        <v>9.9999999999999995E-7</v>
      </c>
      <c r="N296" s="162"/>
      <c r="V296" s="143"/>
      <c r="W296" s="142"/>
      <c r="X296" s="142"/>
      <c r="Y296" s="142"/>
      <c r="Z296" s="142"/>
      <c r="AA296" s="142"/>
    </row>
    <row r="297" spans="2:27" s="141" customFormat="1" x14ac:dyDescent="0.2">
      <c r="B297" s="157">
        <v>37499</v>
      </c>
      <c r="C297" s="158">
        <v>243</v>
      </c>
      <c r="D297" s="159">
        <f>'JSM Eingabe+TW'!DD62</f>
        <v>9.9999999999999995E-7</v>
      </c>
      <c r="E297" s="159">
        <f t="shared" si="29"/>
        <v>0</v>
      </c>
      <c r="F297" s="163">
        <f t="shared" si="32"/>
        <v>9.9999999999999995E-7</v>
      </c>
      <c r="G297" s="160">
        <f t="shared" si="30"/>
        <v>1.1999999999999999E-6</v>
      </c>
      <c r="H297" s="160">
        <f t="shared" si="31"/>
        <v>0</v>
      </c>
      <c r="I297" s="160">
        <f>'JSM Eingabe+TW'!$K$18*3.6*24</f>
        <v>0</v>
      </c>
      <c r="J297" s="159">
        <f t="shared" si="25"/>
        <v>9.9999999999999995E-7</v>
      </c>
      <c r="K297" s="143">
        <f t="shared" si="26"/>
        <v>9.9999999999999995E-7</v>
      </c>
      <c r="L297" s="161" t="str">
        <f t="shared" si="27"/>
        <v xml:space="preserve"> </v>
      </c>
      <c r="M297" s="162">
        <f t="shared" si="28"/>
        <v>9.9999999999999995E-7</v>
      </c>
      <c r="N297" s="162"/>
      <c r="V297" s="143"/>
      <c r="W297" s="142"/>
      <c r="X297" s="142"/>
      <c r="Y297" s="142"/>
      <c r="Z297" s="142"/>
      <c r="AA297" s="142"/>
    </row>
    <row r="298" spans="2:27" s="141" customFormat="1" x14ac:dyDescent="0.2">
      <c r="B298" s="157">
        <v>37500</v>
      </c>
      <c r="C298" s="158">
        <v>244</v>
      </c>
      <c r="D298" s="159">
        <f>'JSM Eingabe+TW'!DE32</f>
        <v>9.9999999999999995E-7</v>
      </c>
      <c r="E298" s="159">
        <f t="shared" si="29"/>
        <v>0</v>
      </c>
      <c r="F298" s="163">
        <f t="shared" si="32"/>
        <v>9.9999999999999995E-7</v>
      </c>
      <c r="G298" s="160">
        <f t="shared" si="30"/>
        <v>1.1999999999999999E-6</v>
      </c>
      <c r="H298" s="160">
        <f t="shared" si="31"/>
        <v>0</v>
      </c>
      <c r="I298" s="160">
        <f>'JSM Eingabe+TW'!$K$18*3.6*24</f>
        <v>0</v>
      </c>
      <c r="J298" s="159">
        <f t="shared" si="25"/>
        <v>9.9999999999999995E-7</v>
      </c>
      <c r="K298" s="143">
        <f t="shared" si="26"/>
        <v>9.9999999999999995E-7</v>
      </c>
      <c r="L298" s="161" t="str">
        <f t="shared" si="27"/>
        <v xml:space="preserve"> </v>
      </c>
      <c r="M298" s="162">
        <f t="shared" si="28"/>
        <v>9.9999999999999995E-7</v>
      </c>
      <c r="N298" s="162"/>
      <c r="V298" s="143"/>
      <c r="W298" s="142"/>
      <c r="X298" s="142"/>
      <c r="Y298" s="142"/>
      <c r="Z298" s="142"/>
      <c r="AA298" s="142"/>
    </row>
    <row r="299" spans="2:27" s="141" customFormat="1" x14ac:dyDescent="0.2">
      <c r="B299" s="157">
        <v>37501</v>
      </c>
      <c r="C299" s="158">
        <v>245</v>
      </c>
      <c r="D299" s="159">
        <f>'JSM Eingabe+TW'!DE33</f>
        <v>9.9999999999999995E-7</v>
      </c>
      <c r="E299" s="159">
        <f t="shared" si="29"/>
        <v>0</v>
      </c>
      <c r="F299" s="163">
        <f t="shared" si="32"/>
        <v>9.9999999999999995E-7</v>
      </c>
      <c r="G299" s="160">
        <f t="shared" si="30"/>
        <v>1.1999999999999999E-6</v>
      </c>
      <c r="H299" s="160">
        <f t="shared" si="31"/>
        <v>0</v>
      </c>
      <c r="I299" s="160">
        <f>'JSM Eingabe+TW'!$K$18*3.6*24</f>
        <v>0</v>
      </c>
      <c r="J299" s="159">
        <f t="shared" si="25"/>
        <v>9.9999999999999995E-7</v>
      </c>
      <c r="K299" s="143">
        <f t="shared" si="26"/>
        <v>9.9999999999999995E-7</v>
      </c>
      <c r="L299" s="161" t="str">
        <f t="shared" si="27"/>
        <v xml:space="preserve"> </v>
      </c>
      <c r="M299" s="162">
        <f t="shared" si="28"/>
        <v>9.9999999999999995E-7</v>
      </c>
      <c r="N299" s="162"/>
      <c r="V299" s="143"/>
      <c r="W299" s="142"/>
      <c r="X299" s="142"/>
      <c r="Y299" s="142"/>
      <c r="Z299" s="142"/>
      <c r="AA299" s="142"/>
    </row>
    <row r="300" spans="2:27" s="141" customFormat="1" x14ac:dyDescent="0.2">
      <c r="B300" s="157">
        <v>37502</v>
      </c>
      <c r="C300" s="158">
        <v>246</v>
      </c>
      <c r="D300" s="159">
        <f>'JSM Eingabe+TW'!DE34</f>
        <v>9.9999999999999995E-7</v>
      </c>
      <c r="E300" s="159">
        <f t="shared" si="29"/>
        <v>0</v>
      </c>
      <c r="F300" s="163">
        <f t="shared" si="32"/>
        <v>9.9999999999999995E-7</v>
      </c>
      <c r="G300" s="160">
        <f t="shared" si="30"/>
        <v>1.1999999999999999E-6</v>
      </c>
      <c r="H300" s="160">
        <f t="shared" si="31"/>
        <v>0</v>
      </c>
      <c r="I300" s="160">
        <f>'JSM Eingabe+TW'!$K$18*3.6*24</f>
        <v>0</v>
      </c>
      <c r="J300" s="159">
        <f t="shared" si="25"/>
        <v>9.9999999999999995E-7</v>
      </c>
      <c r="K300" s="143">
        <f t="shared" si="26"/>
        <v>9.9999999999999995E-7</v>
      </c>
      <c r="L300" s="161" t="str">
        <f t="shared" si="27"/>
        <v xml:space="preserve"> </v>
      </c>
      <c r="M300" s="162">
        <f t="shared" si="28"/>
        <v>9.9999999999999995E-7</v>
      </c>
      <c r="N300" s="162"/>
      <c r="V300" s="143"/>
      <c r="W300" s="142"/>
      <c r="X300" s="142"/>
      <c r="Y300" s="142"/>
      <c r="Z300" s="142"/>
      <c r="AA300" s="142"/>
    </row>
    <row r="301" spans="2:27" s="141" customFormat="1" x14ac:dyDescent="0.2">
      <c r="B301" s="157">
        <v>37503</v>
      </c>
      <c r="C301" s="158">
        <v>247</v>
      </c>
      <c r="D301" s="159">
        <f>'JSM Eingabe+TW'!DE35</f>
        <v>9.9999999999999995E-7</v>
      </c>
      <c r="E301" s="159">
        <f t="shared" si="29"/>
        <v>0</v>
      </c>
      <c r="F301" s="163">
        <f t="shared" si="32"/>
        <v>9.9999999999999995E-7</v>
      </c>
      <c r="G301" s="160">
        <f t="shared" si="30"/>
        <v>1.1999999999999999E-6</v>
      </c>
      <c r="H301" s="160">
        <f t="shared" si="31"/>
        <v>0</v>
      </c>
      <c r="I301" s="160">
        <f>'JSM Eingabe+TW'!$K$18*3.6*24</f>
        <v>0</v>
      </c>
      <c r="J301" s="159">
        <f t="shared" si="25"/>
        <v>9.9999999999999995E-7</v>
      </c>
      <c r="K301" s="143">
        <f t="shared" si="26"/>
        <v>9.9999999999999995E-7</v>
      </c>
      <c r="L301" s="161" t="str">
        <f t="shared" si="27"/>
        <v xml:space="preserve"> </v>
      </c>
      <c r="M301" s="162">
        <f t="shared" si="28"/>
        <v>9.9999999999999995E-7</v>
      </c>
      <c r="N301" s="162"/>
      <c r="V301" s="143"/>
      <c r="W301" s="142"/>
      <c r="X301" s="142"/>
      <c r="Y301" s="142"/>
      <c r="Z301" s="142"/>
      <c r="AA301" s="142"/>
    </row>
    <row r="302" spans="2:27" s="141" customFormat="1" x14ac:dyDescent="0.2">
      <c r="B302" s="157">
        <v>37504</v>
      </c>
      <c r="C302" s="158">
        <v>248</v>
      </c>
      <c r="D302" s="159">
        <f>'JSM Eingabe+TW'!DE36</f>
        <v>9.9999999999999995E-7</v>
      </c>
      <c r="E302" s="159">
        <f t="shared" si="29"/>
        <v>0</v>
      </c>
      <c r="F302" s="163">
        <f t="shared" si="32"/>
        <v>9.9999999999999995E-7</v>
      </c>
      <c r="G302" s="160">
        <f t="shared" si="30"/>
        <v>1.1999999999999999E-6</v>
      </c>
      <c r="H302" s="160">
        <f t="shared" si="31"/>
        <v>0</v>
      </c>
      <c r="I302" s="160">
        <f>'JSM Eingabe+TW'!$K$18*3.6*24</f>
        <v>0</v>
      </c>
      <c r="J302" s="159">
        <f t="shared" si="25"/>
        <v>9.9999999999999995E-7</v>
      </c>
      <c r="K302" s="143">
        <f t="shared" si="26"/>
        <v>9.9999999999999995E-7</v>
      </c>
      <c r="L302" s="161" t="str">
        <f t="shared" si="27"/>
        <v xml:space="preserve"> </v>
      </c>
      <c r="M302" s="162">
        <f t="shared" si="28"/>
        <v>9.9999999999999995E-7</v>
      </c>
      <c r="N302" s="162"/>
      <c r="V302" s="143"/>
      <c r="W302" s="142"/>
      <c r="X302" s="142"/>
      <c r="Y302" s="142"/>
      <c r="Z302" s="142"/>
      <c r="AA302" s="142"/>
    </row>
    <row r="303" spans="2:27" s="141" customFormat="1" x14ac:dyDescent="0.2">
      <c r="B303" s="157">
        <v>37505</v>
      </c>
      <c r="C303" s="158">
        <v>249</v>
      </c>
      <c r="D303" s="159">
        <f>'JSM Eingabe+TW'!DE37</f>
        <v>9.9999999999999995E-7</v>
      </c>
      <c r="E303" s="159">
        <f t="shared" si="29"/>
        <v>0</v>
      </c>
      <c r="F303" s="163">
        <f t="shared" si="32"/>
        <v>9.9999999999999995E-7</v>
      </c>
      <c r="G303" s="160">
        <f t="shared" si="30"/>
        <v>1.1999999999999999E-6</v>
      </c>
      <c r="H303" s="160">
        <f t="shared" si="31"/>
        <v>0</v>
      </c>
      <c r="I303" s="160">
        <f>'JSM Eingabe+TW'!$K$18*3.6*24</f>
        <v>0</v>
      </c>
      <c r="J303" s="159">
        <f t="shared" si="25"/>
        <v>9.9999999999999995E-7</v>
      </c>
      <c r="K303" s="143">
        <f t="shared" si="26"/>
        <v>9.9999999999999995E-7</v>
      </c>
      <c r="L303" s="161" t="str">
        <f t="shared" si="27"/>
        <v xml:space="preserve"> </v>
      </c>
      <c r="M303" s="162">
        <f t="shared" si="28"/>
        <v>9.9999999999999995E-7</v>
      </c>
      <c r="N303" s="162"/>
      <c r="V303" s="143"/>
      <c r="W303" s="142"/>
      <c r="X303" s="142"/>
      <c r="Y303" s="142"/>
      <c r="Z303" s="142"/>
      <c r="AA303" s="142"/>
    </row>
    <row r="304" spans="2:27" s="141" customFormat="1" x14ac:dyDescent="0.2">
      <c r="B304" s="157">
        <v>37506</v>
      </c>
      <c r="C304" s="158">
        <v>250</v>
      </c>
      <c r="D304" s="159">
        <f>'JSM Eingabe+TW'!DE38</f>
        <v>9.9999999999999995E-7</v>
      </c>
      <c r="E304" s="159">
        <f t="shared" si="29"/>
        <v>0</v>
      </c>
      <c r="F304" s="163">
        <f t="shared" si="32"/>
        <v>9.9999999999999995E-7</v>
      </c>
      <c r="G304" s="160">
        <f t="shared" si="30"/>
        <v>1.1999999999999999E-6</v>
      </c>
      <c r="H304" s="160">
        <f t="shared" si="31"/>
        <v>0</v>
      </c>
      <c r="I304" s="160">
        <f>'JSM Eingabe+TW'!$K$18*3.6*24</f>
        <v>0</v>
      </c>
      <c r="J304" s="159">
        <f t="shared" si="25"/>
        <v>9.9999999999999995E-7</v>
      </c>
      <c r="K304" s="143">
        <f t="shared" si="26"/>
        <v>9.9999999999999995E-7</v>
      </c>
      <c r="L304" s="161" t="str">
        <f t="shared" si="27"/>
        <v xml:space="preserve"> </v>
      </c>
      <c r="M304" s="162">
        <f t="shared" si="28"/>
        <v>9.9999999999999995E-7</v>
      </c>
      <c r="N304" s="162"/>
      <c r="V304" s="143"/>
      <c r="W304" s="142"/>
      <c r="X304" s="142"/>
      <c r="Y304" s="142"/>
      <c r="Z304" s="142"/>
      <c r="AA304" s="142"/>
    </row>
    <row r="305" spans="2:27" s="141" customFormat="1" x14ac:dyDescent="0.2">
      <c r="B305" s="157">
        <v>37507</v>
      </c>
      <c r="C305" s="158">
        <v>251</v>
      </c>
      <c r="D305" s="159">
        <f>'JSM Eingabe+TW'!DE39</f>
        <v>9.9999999999999995E-7</v>
      </c>
      <c r="E305" s="159">
        <f t="shared" si="29"/>
        <v>0</v>
      </c>
      <c r="F305" s="163">
        <f t="shared" si="32"/>
        <v>9.9999999999999995E-7</v>
      </c>
      <c r="G305" s="160">
        <f t="shared" si="30"/>
        <v>1.1999999999999999E-6</v>
      </c>
      <c r="H305" s="160">
        <f t="shared" si="31"/>
        <v>0</v>
      </c>
      <c r="I305" s="160">
        <f>'JSM Eingabe+TW'!$K$18*3.6*24</f>
        <v>0</v>
      </c>
      <c r="J305" s="159">
        <f t="shared" si="25"/>
        <v>9.9999999999999995E-7</v>
      </c>
      <c r="K305" s="143">
        <f t="shared" si="26"/>
        <v>9.9999999999999995E-7</v>
      </c>
      <c r="L305" s="161" t="str">
        <f t="shared" si="27"/>
        <v xml:space="preserve"> </v>
      </c>
      <c r="M305" s="162">
        <f t="shared" si="28"/>
        <v>9.9999999999999995E-7</v>
      </c>
      <c r="N305" s="162"/>
      <c r="V305" s="143"/>
      <c r="W305" s="142"/>
      <c r="X305" s="142"/>
      <c r="Y305" s="142"/>
      <c r="Z305" s="142"/>
      <c r="AA305" s="142"/>
    </row>
    <row r="306" spans="2:27" s="141" customFormat="1" x14ac:dyDescent="0.2">
      <c r="B306" s="157">
        <v>37508</v>
      </c>
      <c r="C306" s="158">
        <v>252</v>
      </c>
      <c r="D306" s="159">
        <f>'JSM Eingabe+TW'!DE40</f>
        <v>9.9999999999999995E-7</v>
      </c>
      <c r="E306" s="159">
        <f t="shared" si="29"/>
        <v>0</v>
      </c>
      <c r="F306" s="163">
        <f t="shared" si="32"/>
        <v>9.9999999999999995E-7</v>
      </c>
      <c r="G306" s="160">
        <f t="shared" si="30"/>
        <v>1.1999999999999999E-6</v>
      </c>
      <c r="H306" s="160">
        <f t="shared" si="31"/>
        <v>0</v>
      </c>
      <c r="I306" s="160">
        <f>'JSM Eingabe+TW'!$K$18*3.6*24</f>
        <v>0</v>
      </c>
      <c r="J306" s="159">
        <f t="shared" si="25"/>
        <v>9.9999999999999995E-7</v>
      </c>
      <c r="K306" s="143">
        <f t="shared" si="26"/>
        <v>9.9999999999999995E-7</v>
      </c>
      <c r="L306" s="161" t="str">
        <f t="shared" si="27"/>
        <v xml:space="preserve"> </v>
      </c>
      <c r="M306" s="162">
        <f t="shared" si="28"/>
        <v>9.9999999999999995E-7</v>
      </c>
      <c r="N306" s="162"/>
      <c r="V306" s="143"/>
      <c r="W306" s="142"/>
      <c r="X306" s="142"/>
      <c r="Y306" s="142"/>
      <c r="Z306" s="142"/>
      <c r="AA306" s="142"/>
    </row>
    <row r="307" spans="2:27" s="141" customFormat="1" x14ac:dyDescent="0.2">
      <c r="B307" s="157">
        <v>37509</v>
      </c>
      <c r="C307" s="158">
        <v>253</v>
      </c>
      <c r="D307" s="159">
        <f>'JSM Eingabe+TW'!DE41</f>
        <v>9.9999999999999995E-7</v>
      </c>
      <c r="E307" s="159">
        <f t="shared" si="29"/>
        <v>0</v>
      </c>
      <c r="F307" s="163">
        <f t="shared" si="32"/>
        <v>9.9999999999999995E-7</v>
      </c>
      <c r="G307" s="160">
        <f t="shared" si="30"/>
        <v>1.1999999999999999E-6</v>
      </c>
      <c r="H307" s="160">
        <f t="shared" si="31"/>
        <v>0</v>
      </c>
      <c r="I307" s="160">
        <f>'JSM Eingabe+TW'!$K$18*3.6*24</f>
        <v>0</v>
      </c>
      <c r="J307" s="159">
        <f t="shared" si="25"/>
        <v>9.9999999999999995E-7</v>
      </c>
      <c r="K307" s="143">
        <f t="shared" si="26"/>
        <v>9.9999999999999995E-7</v>
      </c>
      <c r="L307" s="161" t="str">
        <f t="shared" si="27"/>
        <v xml:space="preserve"> </v>
      </c>
      <c r="M307" s="162">
        <f t="shared" si="28"/>
        <v>9.9999999999999995E-7</v>
      </c>
      <c r="N307" s="162"/>
      <c r="V307" s="143"/>
      <c r="W307" s="142"/>
      <c r="X307" s="142"/>
      <c r="Y307" s="142"/>
      <c r="Z307" s="142"/>
      <c r="AA307" s="142"/>
    </row>
    <row r="308" spans="2:27" s="141" customFormat="1" x14ac:dyDescent="0.2">
      <c r="B308" s="157">
        <v>37510</v>
      </c>
      <c r="C308" s="158">
        <v>254</v>
      </c>
      <c r="D308" s="159">
        <f>'JSM Eingabe+TW'!DE42</f>
        <v>9.9999999999999995E-7</v>
      </c>
      <c r="E308" s="159">
        <f t="shared" si="29"/>
        <v>0</v>
      </c>
      <c r="F308" s="163">
        <f t="shared" si="32"/>
        <v>9.9999999999999995E-7</v>
      </c>
      <c r="G308" s="160">
        <f t="shared" si="30"/>
        <v>1.1999999999999999E-6</v>
      </c>
      <c r="H308" s="160">
        <f t="shared" si="31"/>
        <v>0</v>
      </c>
      <c r="I308" s="160">
        <f>'JSM Eingabe+TW'!$K$18*3.6*24</f>
        <v>0</v>
      </c>
      <c r="J308" s="159">
        <f t="shared" si="25"/>
        <v>9.9999999999999995E-7</v>
      </c>
      <c r="K308" s="143">
        <f t="shared" si="26"/>
        <v>9.9999999999999995E-7</v>
      </c>
      <c r="L308" s="161" t="str">
        <f t="shared" si="27"/>
        <v xml:space="preserve"> </v>
      </c>
      <c r="M308" s="162">
        <f t="shared" si="28"/>
        <v>9.9999999999999995E-7</v>
      </c>
      <c r="N308" s="162"/>
      <c r="V308" s="143"/>
      <c r="W308" s="142"/>
      <c r="X308" s="142"/>
      <c r="Y308" s="142"/>
      <c r="Z308" s="142"/>
      <c r="AA308" s="142"/>
    </row>
    <row r="309" spans="2:27" s="141" customFormat="1" x14ac:dyDescent="0.2">
      <c r="B309" s="157">
        <v>37511</v>
      </c>
      <c r="C309" s="158">
        <v>255</v>
      </c>
      <c r="D309" s="159">
        <f>'JSM Eingabe+TW'!DE43</f>
        <v>9.9999999999999995E-7</v>
      </c>
      <c r="E309" s="159">
        <f t="shared" si="29"/>
        <v>0</v>
      </c>
      <c r="F309" s="163">
        <f t="shared" si="32"/>
        <v>9.9999999999999995E-7</v>
      </c>
      <c r="G309" s="160">
        <f t="shared" si="30"/>
        <v>1.1999999999999999E-6</v>
      </c>
      <c r="H309" s="160">
        <f t="shared" si="31"/>
        <v>0</v>
      </c>
      <c r="I309" s="160">
        <f>'JSM Eingabe+TW'!$K$18*3.6*24</f>
        <v>0</v>
      </c>
      <c r="J309" s="159">
        <f t="shared" si="25"/>
        <v>9.9999999999999995E-7</v>
      </c>
      <c r="K309" s="143">
        <f t="shared" si="26"/>
        <v>9.9999999999999995E-7</v>
      </c>
      <c r="L309" s="161" t="str">
        <f t="shared" si="27"/>
        <v xml:space="preserve"> </v>
      </c>
      <c r="M309" s="162">
        <f t="shared" si="28"/>
        <v>9.9999999999999995E-7</v>
      </c>
      <c r="N309" s="162"/>
      <c r="V309" s="143"/>
      <c r="W309" s="142"/>
      <c r="X309" s="142"/>
      <c r="Y309" s="142"/>
      <c r="Z309" s="142"/>
      <c r="AA309" s="142"/>
    </row>
    <row r="310" spans="2:27" s="141" customFormat="1" x14ac:dyDescent="0.2">
      <c r="B310" s="157">
        <v>37512</v>
      </c>
      <c r="C310" s="158">
        <v>256</v>
      </c>
      <c r="D310" s="159">
        <f>'JSM Eingabe+TW'!DE44</f>
        <v>9.9999999999999995E-7</v>
      </c>
      <c r="E310" s="159">
        <f t="shared" si="29"/>
        <v>0</v>
      </c>
      <c r="F310" s="163">
        <f t="shared" si="32"/>
        <v>9.9999999999999995E-7</v>
      </c>
      <c r="G310" s="160">
        <f t="shared" si="30"/>
        <v>1.1999999999999999E-6</v>
      </c>
      <c r="H310" s="160">
        <f t="shared" si="31"/>
        <v>0</v>
      </c>
      <c r="I310" s="160">
        <f>'JSM Eingabe+TW'!$K$18*3.6*24</f>
        <v>0</v>
      </c>
      <c r="J310" s="159">
        <f t="shared" si="25"/>
        <v>9.9999999999999995E-7</v>
      </c>
      <c r="K310" s="143">
        <f t="shared" si="26"/>
        <v>9.9999999999999995E-7</v>
      </c>
      <c r="L310" s="161" t="str">
        <f t="shared" si="27"/>
        <v xml:space="preserve"> </v>
      </c>
      <c r="M310" s="162">
        <f t="shared" si="28"/>
        <v>9.9999999999999995E-7</v>
      </c>
      <c r="N310" s="162"/>
      <c r="V310" s="143"/>
      <c r="W310" s="142"/>
      <c r="X310" s="142"/>
      <c r="Y310" s="142"/>
      <c r="Z310" s="142"/>
      <c r="AA310" s="142"/>
    </row>
    <row r="311" spans="2:27" s="141" customFormat="1" x14ac:dyDescent="0.2">
      <c r="B311" s="157">
        <v>37513</v>
      </c>
      <c r="C311" s="158">
        <v>257</v>
      </c>
      <c r="D311" s="159">
        <f>'JSM Eingabe+TW'!DE45</f>
        <v>9.9999999999999995E-7</v>
      </c>
      <c r="E311" s="159">
        <f t="shared" si="29"/>
        <v>0</v>
      </c>
      <c r="F311" s="163">
        <f t="shared" si="32"/>
        <v>9.9999999999999995E-7</v>
      </c>
      <c r="G311" s="160">
        <f t="shared" si="30"/>
        <v>1.1999999999999999E-6</v>
      </c>
      <c r="H311" s="160">
        <f t="shared" si="31"/>
        <v>0</v>
      </c>
      <c r="I311" s="160">
        <f>'JSM Eingabe+TW'!$K$18*3.6*24</f>
        <v>0</v>
      </c>
      <c r="J311" s="159">
        <f t="shared" ref="J311:J374" si="33">IF(D311&lt;=G311,D311,0)</f>
        <v>9.9999999999999995E-7</v>
      </c>
      <c r="K311" s="143">
        <f t="shared" ref="K311:K374" si="34">IF(F311&lt;E311,0,F311-E311)</f>
        <v>9.9999999999999995E-7</v>
      </c>
      <c r="L311" s="161" t="str">
        <f t="shared" ref="L311:L374" si="35">IF(M311&lt;0,1, " ")</f>
        <v xml:space="preserve"> </v>
      </c>
      <c r="M311" s="162">
        <f t="shared" ref="M311:M374" si="36">F311-E311</f>
        <v>9.9999999999999995E-7</v>
      </c>
      <c r="N311" s="162"/>
      <c r="V311" s="143"/>
      <c r="W311" s="142"/>
      <c r="X311" s="142"/>
      <c r="Y311" s="142"/>
      <c r="Z311" s="142"/>
      <c r="AA311" s="142"/>
    </row>
    <row r="312" spans="2:27" s="141" customFormat="1" x14ac:dyDescent="0.2">
      <c r="B312" s="157">
        <v>37514</v>
      </c>
      <c r="C312" s="158">
        <v>258</v>
      </c>
      <c r="D312" s="159">
        <f>'JSM Eingabe+TW'!DE46</f>
        <v>9.9999999999999995E-7</v>
      </c>
      <c r="E312" s="159">
        <f t="shared" ref="E312:E375" si="37">$E$55</f>
        <v>0</v>
      </c>
      <c r="F312" s="163">
        <f t="shared" si="32"/>
        <v>9.9999999999999995E-7</v>
      </c>
      <c r="G312" s="160">
        <f t="shared" ref="G312:G375" si="38">F312*1.2</f>
        <v>1.1999999999999999E-6</v>
      </c>
      <c r="H312" s="160">
        <f t="shared" si="31"/>
        <v>0</v>
      </c>
      <c r="I312" s="160">
        <f>'JSM Eingabe+TW'!$K$18*3.6*24</f>
        <v>0</v>
      </c>
      <c r="J312" s="159">
        <f t="shared" si="33"/>
        <v>9.9999999999999995E-7</v>
      </c>
      <c r="K312" s="143">
        <f t="shared" si="34"/>
        <v>9.9999999999999995E-7</v>
      </c>
      <c r="L312" s="161" t="str">
        <f t="shared" si="35"/>
        <v xml:space="preserve"> </v>
      </c>
      <c r="M312" s="162">
        <f t="shared" si="36"/>
        <v>9.9999999999999995E-7</v>
      </c>
      <c r="N312" s="162"/>
      <c r="V312" s="143"/>
      <c r="W312" s="142"/>
      <c r="X312" s="142"/>
      <c r="Y312" s="142"/>
      <c r="Z312" s="142"/>
      <c r="AA312" s="142"/>
    </row>
    <row r="313" spans="2:27" s="141" customFormat="1" x14ac:dyDescent="0.2">
      <c r="B313" s="157">
        <v>37515</v>
      </c>
      <c r="C313" s="158">
        <v>259</v>
      </c>
      <c r="D313" s="159">
        <f>'JSM Eingabe+TW'!DE47</f>
        <v>9.9999999999999995E-7</v>
      </c>
      <c r="E313" s="159">
        <f t="shared" si="37"/>
        <v>0</v>
      </c>
      <c r="F313" s="163">
        <f t="shared" si="32"/>
        <v>9.9999999999999995E-7</v>
      </c>
      <c r="G313" s="160">
        <f t="shared" si="38"/>
        <v>1.1999999999999999E-6</v>
      </c>
      <c r="H313" s="160">
        <f t="shared" ref="H313:H376" si="39">H312</f>
        <v>0</v>
      </c>
      <c r="I313" s="160">
        <f>'JSM Eingabe+TW'!$K$18*3.6*24</f>
        <v>0</v>
      </c>
      <c r="J313" s="159">
        <f t="shared" si="33"/>
        <v>9.9999999999999995E-7</v>
      </c>
      <c r="K313" s="143">
        <f t="shared" si="34"/>
        <v>9.9999999999999995E-7</v>
      </c>
      <c r="L313" s="161" t="str">
        <f t="shared" si="35"/>
        <v xml:space="preserve"> </v>
      </c>
      <c r="M313" s="162">
        <f t="shared" si="36"/>
        <v>9.9999999999999995E-7</v>
      </c>
      <c r="N313" s="162"/>
      <c r="V313" s="143"/>
      <c r="W313" s="142"/>
      <c r="X313" s="142"/>
      <c r="Y313" s="142"/>
      <c r="Z313" s="142"/>
      <c r="AA313" s="142"/>
    </row>
    <row r="314" spans="2:27" s="141" customFormat="1" x14ac:dyDescent="0.2">
      <c r="B314" s="157">
        <v>37516</v>
      </c>
      <c r="C314" s="158">
        <v>260</v>
      </c>
      <c r="D314" s="159">
        <f>'JSM Eingabe+TW'!DE48</f>
        <v>9.9999999999999995E-7</v>
      </c>
      <c r="E314" s="159">
        <f t="shared" si="37"/>
        <v>0</v>
      </c>
      <c r="F314" s="163">
        <f t="shared" si="32"/>
        <v>9.9999999999999995E-7</v>
      </c>
      <c r="G314" s="160">
        <f t="shared" si="38"/>
        <v>1.1999999999999999E-6</v>
      </c>
      <c r="H314" s="160">
        <f t="shared" si="39"/>
        <v>0</v>
      </c>
      <c r="I314" s="160">
        <f>'JSM Eingabe+TW'!$K$18*3.6*24</f>
        <v>0</v>
      </c>
      <c r="J314" s="159">
        <f t="shared" si="33"/>
        <v>9.9999999999999995E-7</v>
      </c>
      <c r="K314" s="143">
        <f t="shared" si="34"/>
        <v>9.9999999999999995E-7</v>
      </c>
      <c r="L314" s="161" t="str">
        <f t="shared" si="35"/>
        <v xml:space="preserve"> </v>
      </c>
      <c r="M314" s="162">
        <f t="shared" si="36"/>
        <v>9.9999999999999995E-7</v>
      </c>
      <c r="N314" s="162"/>
      <c r="V314" s="143"/>
      <c r="W314" s="142"/>
      <c r="X314" s="142"/>
      <c r="Y314" s="142"/>
      <c r="Z314" s="142"/>
      <c r="AA314" s="142"/>
    </row>
    <row r="315" spans="2:27" s="141" customFormat="1" x14ac:dyDescent="0.2">
      <c r="B315" s="157">
        <v>37517</v>
      </c>
      <c r="C315" s="158">
        <v>261</v>
      </c>
      <c r="D315" s="159">
        <f>'JSM Eingabe+TW'!DE49</f>
        <v>9.9999999999999995E-7</v>
      </c>
      <c r="E315" s="159">
        <f t="shared" si="37"/>
        <v>0</v>
      </c>
      <c r="F315" s="163">
        <f t="shared" si="32"/>
        <v>9.9999999999999995E-7</v>
      </c>
      <c r="G315" s="160">
        <f t="shared" si="38"/>
        <v>1.1999999999999999E-6</v>
      </c>
      <c r="H315" s="160">
        <f t="shared" si="39"/>
        <v>0</v>
      </c>
      <c r="I315" s="160">
        <f>'JSM Eingabe+TW'!$K$18*3.6*24</f>
        <v>0</v>
      </c>
      <c r="J315" s="159">
        <f t="shared" si="33"/>
        <v>9.9999999999999995E-7</v>
      </c>
      <c r="K315" s="143">
        <f t="shared" si="34"/>
        <v>9.9999999999999995E-7</v>
      </c>
      <c r="L315" s="161" t="str">
        <f t="shared" si="35"/>
        <v xml:space="preserve"> </v>
      </c>
      <c r="M315" s="162">
        <f t="shared" si="36"/>
        <v>9.9999999999999995E-7</v>
      </c>
      <c r="N315" s="162"/>
      <c r="V315" s="143"/>
      <c r="W315" s="142"/>
      <c r="X315" s="142"/>
      <c r="Y315" s="142"/>
      <c r="Z315" s="142"/>
      <c r="AA315" s="142"/>
    </row>
    <row r="316" spans="2:27" s="141" customFormat="1" x14ac:dyDescent="0.2">
      <c r="B316" s="157">
        <v>37518</v>
      </c>
      <c r="C316" s="158">
        <v>262</v>
      </c>
      <c r="D316" s="159">
        <f>'JSM Eingabe+TW'!DE50</f>
        <v>9.9999999999999995E-7</v>
      </c>
      <c r="E316" s="159">
        <f t="shared" si="37"/>
        <v>0</v>
      </c>
      <c r="F316" s="163">
        <f t="shared" si="32"/>
        <v>9.9999999999999995E-7</v>
      </c>
      <c r="G316" s="160">
        <f t="shared" si="38"/>
        <v>1.1999999999999999E-6</v>
      </c>
      <c r="H316" s="160">
        <f t="shared" si="39"/>
        <v>0</v>
      </c>
      <c r="I316" s="160">
        <f>'JSM Eingabe+TW'!$K$18*3.6*24</f>
        <v>0</v>
      </c>
      <c r="J316" s="159">
        <f t="shared" si="33"/>
        <v>9.9999999999999995E-7</v>
      </c>
      <c r="K316" s="143">
        <f t="shared" si="34"/>
        <v>9.9999999999999995E-7</v>
      </c>
      <c r="L316" s="161" t="str">
        <f t="shared" si="35"/>
        <v xml:space="preserve"> </v>
      </c>
      <c r="M316" s="162">
        <f t="shared" si="36"/>
        <v>9.9999999999999995E-7</v>
      </c>
      <c r="N316" s="162"/>
      <c r="V316" s="143"/>
      <c r="W316" s="142"/>
      <c r="X316" s="142"/>
      <c r="Y316" s="142"/>
      <c r="Z316" s="142"/>
      <c r="AA316" s="142"/>
    </row>
    <row r="317" spans="2:27" s="141" customFormat="1" x14ac:dyDescent="0.2">
      <c r="B317" s="157">
        <v>37519</v>
      </c>
      <c r="C317" s="158">
        <v>263</v>
      </c>
      <c r="D317" s="159">
        <f>'JSM Eingabe+TW'!DE51</f>
        <v>9.9999999999999995E-7</v>
      </c>
      <c r="E317" s="159">
        <f t="shared" si="37"/>
        <v>0</v>
      </c>
      <c r="F317" s="163">
        <f t="shared" si="32"/>
        <v>9.9999999999999995E-7</v>
      </c>
      <c r="G317" s="160">
        <f t="shared" si="38"/>
        <v>1.1999999999999999E-6</v>
      </c>
      <c r="H317" s="160">
        <f t="shared" si="39"/>
        <v>0</v>
      </c>
      <c r="I317" s="160">
        <f>'JSM Eingabe+TW'!$K$18*3.6*24</f>
        <v>0</v>
      </c>
      <c r="J317" s="159">
        <f t="shared" si="33"/>
        <v>9.9999999999999995E-7</v>
      </c>
      <c r="K317" s="143">
        <f t="shared" si="34"/>
        <v>9.9999999999999995E-7</v>
      </c>
      <c r="L317" s="161" t="str">
        <f t="shared" si="35"/>
        <v xml:space="preserve"> </v>
      </c>
      <c r="M317" s="162">
        <f t="shared" si="36"/>
        <v>9.9999999999999995E-7</v>
      </c>
      <c r="N317" s="162"/>
      <c r="V317" s="143"/>
      <c r="W317" s="142"/>
      <c r="X317" s="142"/>
      <c r="Y317" s="142"/>
      <c r="Z317" s="142"/>
      <c r="AA317" s="142"/>
    </row>
    <row r="318" spans="2:27" s="141" customFormat="1" x14ac:dyDescent="0.2">
      <c r="B318" s="157">
        <v>37520</v>
      </c>
      <c r="C318" s="158">
        <v>264</v>
      </c>
      <c r="D318" s="159">
        <f>'JSM Eingabe+TW'!DE52</f>
        <v>9.9999999999999995E-7</v>
      </c>
      <c r="E318" s="159">
        <f t="shared" si="37"/>
        <v>0</v>
      </c>
      <c r="F318" s="163">
        <f t="shared" si="32"/>
        <v>9.9999999999999995E-7</v>
      </c>
      <c r="G318" s="160">
        <f t="shared" si="38"/>
        <v>1.1999999999999999E-6</v>
      </c>
      <c r="H318" s="160">
        <f t="shared" si="39"/>
        <v>0</v>
      </c>
      <c r="I318" s="160">
        <f>'JSM Eingabe+TW'!$K$18*3.6*24</f>
        <v>0</v>
      </c>
      <c r="J318" s="159">
        <f t="shared" si="33"/>
        <v>9.9999999999999995E-7</v>
      </c>
      <c r="K318" s="143">
        <f t="shared" si="34"/>
        <v>9.9999999999999995E-7</v>
      </c>
      <c r="L318" s="161" t="str">
        <f t="shared" si="35"/>
        <v xml:space="preserve"> </v>
      </c>
      <c r="M318" s="162">
        <f t="shared" si="36"/>
        <v>9.9999999999999995E-7</v>
      </c>
      <c r="N318" s="162"/>
      <c r="V318" s="143"/>
      <c r="W318" s="142"/>
      <c r="X318" s="142"/>
      <c r="Y318" s="142"/>
      <c r="Z318" s="142"/>
      <c r="AA318" s="142"/>
    </row>
    <row r="319" spans="2:27" s="141" customFormat="1" x14ac:dyDescent="0.2">
      <c r="B319" s="157">
        <v>37521</v>
      </c>
      <c r="C319" s="158">
        <v>265</v>
      </c>
      <c r="D319" s="159">
        <f>'JSM Eingabe+TW'!DE53</f>
        <v>9.9999999999999995E-7</v>
      </c>
      <c r="E319" s="159">
        <f t="shared" si="37"/>
        <v>0</v>
      </c>
      <c r="F319" s="163">
        <f t="shared" si="32"/>
        <v>9.9999999999999995E-7</v>
      </c>
      <c r="G319" s="160">
        <f t="shared" si="38"/>
        <v>1.1999999999999999E-6</v>
      </c>
      <c r="H319" s="160">
        <f t="shared" si="39"/>
        <v>0</v>
      </c>
      <c r="I319" s="160">
        <f>'JSM Eingabe+TW'!$K$18*3.6*24</f>
        <v>0</v>
      </c>
      <c r="J319" s="159">
        <f t="shared" si="33"/>
        <v>9.9999999999999995E-7</v>
      </c>
      <c r="K319" s="143">
        <f t="shared" si="34"/>
        <v>9.9999999999999995E-7</v>
      </c>
      <c r="L319" s="161" t="str">
        <f t="shared" si="35"/>
        <v xml:space="preserve"> </v>
      </c>
      <c r="M319" s="162">
        <f t="shared" si="36"/>
        <v>9.9999999999999995E-7</v>
      </c>
      <c r="N319" s="162"/>
      <c r="V319" s="143"/>
      <c r="W319" s="142"/>
      <c r="X319" s="142"/>
      <c r="Y319" s="142"/>
      <c r="Z319" s="142"/>
      <c r="AA319" s="142"/>
    </row>
    <row r="320" spans="2:27" s="141" customFormat="1" x14ac:dyDescent="0.2">
      <c r="B320" s="157">
        <v>37522</v>
      </c>
      <c r="C320" s="158">
        <v>266</v>
      </c>
      <c r="D320" s="159">
        <f>'JSM Eingabe+TW'!DE54</f>
        <v>9.9999999999999995E-7</v>
      </c>
      <c r="E320" s="159">
        <f t="shared" si="37"/>
        <v>0</v>
      </c>
      <c r="F320" s="163">
        <f t="shared" si="32"/>
        <v>9.9999999999999995E-7</v>
      </c>
      <c r="G320" s="160">
        <f t="shared" si="38"/>
        <v>1.1999999999999999E-6</v>
      </c>
      <c r="H320" s="160">
        <f t="shared" si="39"/>
        <v>0</v>
      </c>
      <c r="I320" s="160">
        <f>'JSM Eingabe+TW'!$K$18*3.6*24</f>
        <v>0</v>
      </c>
      <c r="J320" s="159">
        <f t="shared" si="33"/>
        <v>9.9999999999999995E-7</v>
      </c>
      <c r="K320" s="143">
        <f t="shared" si="34"/>
        <v>9.9999999999999995E-7</v>
      </c>
      <c r="L320" s="161" t="str">
        <f t="shared" si="35"/>
        <v xml:space="preserve"> </v>
      </c>
      <c r="M320" s="162">
        <f t="shared" si="36"/>
        <v>9.9999999999999995E-7</v>
      </c>
      <c r="N320" s="162"/>
      <c r="V320" s="143"/>
      <c r="W320" s="142"/>
      <c r="X320" s="142"/>
      <c r="Y320" s="142"/>
      <c r="Z320" s="142"/>
      <c r="AA320" s="142"/>
    </row>
    <row r="321" spans="2:27" s="141" customFormat="1" x14ac:dyDescent="0.2">
      <c r="B321" s="157">
        <v>37523</v>
      </c>
      <c r="C321" s="158">
        <v>267</v>
      </c>
      <c r="D321" s="159">
        <f>'JSM Eingabe+TW'!DE55</f>
        <v>9.9999999999999995E-7</v>
      </c>
      <c r="E321" s="159">
        <f t="shared" si="37"/>
        <v>0</v>
      </c>
      <c r="F321" s="163">
        <f t="shared" si="32"/>
        <v>9.9999999999999995E-7</v>
      </c>
      <c r="G321" s="160">
        <f t="shared" si="38"/>
        <v>1.1999999999999999E-6</v>
      </c>
      <c r="H321" s="160">
        <f t="shared" si="39"/>
        <v>0</v>
      </c>
      <c r="I321" s="160">
        <f>'JSM Eingabe+TW'!$K$18*3.6*24</f>
        <v>0</v>
      </c>
      <c r="J321" s="159">
        <f t="shared" si="33"/>
        <v>9.9999999999999995E-7</v>
      </c>
      <c r="K321" s="143">
        <f t="shared" si="34"/>
        <v>9.9999999999999995E-7</v>
      </c>
      <c r="L321" s="161" t="str">
        <f t="shared" si="35"/>
        <v xml:space="preserve"> </v>
      </c>
      <c r="M321" s="162">
        <f t="shared" si="36"/>
        <v>9.9999999999999995E-7</v>
      </c>
      <c r="N321" s="162"/>
      <c r="V321" s="143"/>
      <c r="W321" s="142"/>
      <c r="X321" s="142"/>
      <c r="Y321" s="142"/>
      <c r="Z321" s="142"/>
      <c r="AA321" s="142"/>
    </row>
    <row r="322" spans="2:27" s="141" customFormat="1" x14ac:dyDescent="0.2">
      <c r="B322" s="157">
        <v>37524</v>
      </c>
      <c r="C322" s="158">
        <v>268</v>
      </c>
      <c r="D322" s="159">
        <f>'JSM Eingabe+TW'!DE56</f>
        <v>9.9999999999999995E-7</v>
      </c>
      <c r="E322" s="159">
        <f t="shared" si="37"/>
        <v>0</v>
      </c>
      <c r="F322" s="163">
        <f t="shared" ref="F322:F385" si="40">SMALL(D312:D332,1)</f>
        <v>9.9999999999999995E-7</v>
      </c>
      <c r="G322" s="160">
        <f t="shared" si="38"/>
        <v>1.1999999999999999E-6</v>
      </c>
      <c r="H322" s="160">
        <f t="shared" si="39"/>
        <v>0</v>
      </c>
      <c r="I322" s="160">
        <f>'JSM Eingabe+TW'!$K$18*3.6*24</f>
        <v>0</v>
      </c>
      <c r="J322" s="159">
        <f t="shared" si="33"/>
        <v>9.9999999999999995E-7</v>
      </c>
      <c r="K322" s="143">
        <f t="shared" si="34"/>
        <v>9.9999999999999995E-7</v>
      </c>
      <c r="L322" s="161" t="str">
        <f t="shared" si="35"/>
        <v xml:space="preserve"> </v>
      </c>
      <c r="M322" s="162">
        <f t="shared" si="36"/>
        <v>9.9999999999999995E-7</v>
      </c>
      <c r="N322" s="162"/>
      <c r="V322" s="143"/>
      <c r="W322" s="142"/>
      <c r="X322" s="142"/>
      <c r="Y322" s="142"/>
      <c r="Z322" s="142"/>
      <c r="AA322" s="142"/>
    </row>
    <row r="323" spans="2:27" s="141" customFormat="1" x14ac:dyDescent="0.2">
      <c r="B323" s="157">
        <v>37525</v>
      </c>
      <c r="C323" s="158">
        <v>269</v>
      </c>
      <c r="D323" s="159">
        <f>'JSM Eingabe+TW'!DE57</f>
        <v>9.9999999999999995E-7</v>
      </c>
      <c r="E323" s="159">
        <f t="shared" si="37"/>
        <v>0</v>
      </c>
      <c r="F323" s="163">
        <f t="shared" si="40"/>
        <v>9.9999999999999995E-7</v>
      </c>
      <c r="G323" s="160">
        <f t="shared" si="38"/>
        <v>1.1999999999999999E-6</v>
      </c>
      <c r="H323" s="160">
        <f t="shared" si="39"/>
        <v>0</v>
      </c>
      <c r="I323" s="160">
        <f>'JSM Eingabe+TW'!$K$18*3.6*24</f>
        <v>0</v>
      </c>
      <c r="J323" s="159">
        <f t="shared" si="33"/>
        <v>9.9999999999999995E-7</v>
      </c>
      <c r="K323" s="143">
        <f t="shared" si="34"/>
        <v>9.9999999999999995E-7</v>
      </c>
      <c r="L323" s="161" t="str">
        <f t="shared" si="35"/>
        <v xml:space="preserve"> </v>
      </c>
      <c r="M323" s="162">
        <f t="shared" si="36"/>
        <v>9.9999999999999995E-7</v>
      </c>
      <c r="N323" s="162"/>
      <c r="V323" s="143"/>
      <c r="W323" s="142"/>
      <c r="X323" s="142"/>
      <c r="Y323" s="142"/>
      <c r="Z323" s="142"/>
      <c r="AA323" s="142"/>
    </row>
    <row r="324" spans="2:27" s="141" customFormat="1" x14ac:dyDescent="0.2">
      <c r="B324" s="157">
        <v>37526</v>
      </c>
      <c r="C324" s="158">
        <v>270</v>
      </c>
      <c r="D324" s="159">
        <f>'JSM Eingabe+TW'!DE58</f>
        <v>9.9999999999999995E-7</v>
      </c>
      <c r="E324" s="159">
        <f t="shared" si="37"/>
        <v>0</v>
      </c>
      <c r="F324" s="163">
        <f t="shared" si="40"/>
        <v>9.9999999999999995E-7</v>
      </c>
      <c r="G324" s="160">
        <f t="shared" si="38"/>
        <v>1.1999999999999999E-6</v>
      </c>
      <c r="H324" s="160">
        <f t="shared" si="39"/>
        <v>0</v>
      </c>
      <c r="I324" s="160">
        <f>'JSM Eingabe+TW'!$K$18*3.6*24</f>
        <v>0</v>
      </c>
      <c r="J324" s="159">
        <f t="shared" si="33"/>
        <v>9.9999999999999995E-7</v>
      </c>
      <c r="K324" s="143">
        <f t="shared" si="34"/>
        <v>9.9999999999999995E-7</v>
      </c>
      <c r="L324" s="161" t="str">
        <f t="shared" si="35"/>
        <v xml:space="preserve"> </v>
      </c>
      <c r="M324" s="162">
        <f t="shared" si="36"/>
        <v>9.9999999999999995E-7</v>
      </c>
      <c r="N324" s="162"/>
      <c r="V324" s="143"/>
      <c r="W324" s="142"/>
      <c r="X324" s="142"/>
      <c r="Y324" s="142"/>
      <c r="Z324" s="142"/>
      <c r="AA324" s="142"/>
    </row>
    <row r="325" spans="2:27" s="141" customFormat="1" x14ac:dyDescent="0.2">
      <c r="B325" s="157">
        <v>37527</v>
      </c>
      <c r="C325" s="158">
        <v>271</v>
      </c>
      <c r="D325" s="159">
        <f>'JSM Eingabe+TW'!DE59</f>
        <v>9.9999999999999995E-7</v>
      </c>
      <c r="E325" s="159">
        <f t="shared" si="37"/>
        <v>0</v>
      </c>
      <c r="F325" s="163">
        <f t="shared" si="40"/>
        <v>9.9999999999999995E-7</v>
      </c>
      <c r="G325" s="160">
        <f t="shared" si="38"/>
        <v>1.1999999999999999E-6</v>
      </c>
      <c r="H325" s="160">
        <f t="shared" si="39"/>
        <v>0</v>
      </c>
      <c r="I325" s="160">
        <f>'JSM Eingabe+TW'!$K$18*3.6*24</f>
        <v>0</v>
      </c>
      <c r="J325" s="159">
        <f t="shared" si="33"/>
        <v>9.9999999999999995E-7</v>
      </c>
      <c r="K325" s="143">
        <f t="shared" si="34"/>
        <v>9.9999999999999995E-7</v>
      </c>
      <c r="L325" s="161" t="str">
        <f t="shared" si="35"/>
        <v xml:space="preserve"> </v>
      </c>
      <c r="M325" s="162">
        <f t="shared" si="36"/>
        <v>9.9999999999999995E-7</v>
      </c>
      <c r="N325" s="162"/>
      <c r="V325" s="143"/>
      <c r="W325" s="142"/>
      <c r="X325" s="142"/>
      <c r="Y325" s="142"/>
      <c r="Z325" s="142"/>
      <c r="AA325" s="142"/>
    </row>
    <row r="326" spans="2:27" s="141" customFormat="1" x14ac:dyDescent="0.2">
      <c r="B326" s="157">
        <v>37528</v>
      </c>
      <c r="C326" s="158">
        <v>272</v>
      </c>
      <c r="D326" s="159">
        <f>'JSM Eingabe+TW'!DE60</f>
        <v>9.9999999999999995E-7</v>
      </c>
      <c r="E326" s="159">
        <f t="shared" si="37"/>
        <v>0</v>
      </c>
      <c r="F326" s="163">
        <f t="shared" si="40"/>
        <v>9.9999999999999995E-7</v>
      </c>
      <c r="G326" s="160">
        <f t="shared" si="38"/>
        <v>1.1999999999999999E-6</v>
      </c>
      <c r="H326" s="160">
        <f t="shared" si="39"/>
        <v>0</v>
      </c>
      <c r="I326" s="160">
        <f>'JSM Eingabe+TW'!$K$18*3.6*24</f>
        <v>0</v>
      </c>
      <c r="J326" s="159">
        <f t="shared" si="33"/>
        <v>9.9999999999999995E-7</v>
      </c>
      <c r="K326" s="143">
        <f t="shared" si="34"/>
        <v>9.9999999999999995E-7</v>
      </c>
      <c r="L326" s="161" t="str">
        <f t="shared" si="35"/>
        <v xml:space="preserve"> </v>
      </c>
      <c r="M326" s="162">
        <f t="shared" si="36"/>
        <v>9.9999999999999995E-7</v>
      </c>
      <c r="N326" s="162"/>
      <c r="V326" s="143"/>
      <c r="W326" s="142"/>
      <c r="X326" s="142"/>
      <c r="Y326" s="142"/>
      <c r="Z326" s="142"/>
      <c r="AA326" s="142"/>
    </row>
    <row r="327" spans="2:27" s="141" customFormat="1" x14ac:dyDescent="0.2">
      <c r="B327" s="157">
        <v>37529</v>
      </c>
      <c r="C327" s="158">
        <v>273</v>
      </c>
      <c r="D327" s="159">
        <f>'JSM Eingabe+TW'!DE61</f>
        <v>9.9999999999999995E-7</v>
      </c>
      <c r="E327" s="159">
        <f t="shared" si="37"/>
        <v>0</v>
      </c>
      <c r="F327" s="163">
        <f t="shared" si="40"/>
        <v>9.9999999999999995E-7</v>
      </c>
      <c r="G327" s="160">
        <f t="shared" si="38"/>
        <v>1.1999999999999999E-6</v>
      </c>
      <c r="H327" s="160">
        <f t="shared" si="39"/>
        <v>0</v>
      </c>
      <c r="I327" s="160">
        <f>'JSM Eingabe+TW'!$K$18*3.6*24</f>
        <v>0</v>
      </c>
      <c r="J327" s="159">
        <f t="shared" si="33"/>
        <v>9.9999999999999995E-7</v>
      </c>
      <c r="K327" s="143">
        <f t="shared" si="34"/>
        <v>9.9999999999999995E-7</v>
      </c>
      <c r="L327" s="161" t="str">
        <f t="shared" si="35"/>
        <v xml:space="preserve"> </v>
      </c>
      <c r="M327" s="162">
        <f t="shared" si="36"/>
        <v>9.9999999999999995E-7</v>
      </c>
      <c r="N327" s="162"/>
      <c r="V327" s="143"/>
      <c r="W327" s="142"/>
      <c r="X327" s="142"/>
      <c r="Y327" s="142"/>
      <c r="Z327" s="142"/>
      <c r="AA327" s="142"/>
    </row>
    <row r="328" spans="2:27" s="141" customFormat="1" x14ac:dyDescent="0.2">
      <c r="B328" s="157">
        <v>37530</v>
      </c>
      <c r="C328" s="158">
        <v>274</v>
      </c>
      <c r="D328" s="159">
        <f>'JSM Eingabe+TW'!DF32</f>
        <v>9.9999999999999995E-7</v>
      </c>
      <c r="E328" s="159">
        <f t="shared" si="37"/>
        <v>0</v>
      </c>
      <c r="F328" s="163">
        <f t="shared" si="40"/>
        <v>9.9999999999999995E-7</v>
      </c>
      <c r="G328" s="160">
        <f t="shared" si="38"/>
        <v>1.1999999999999999E-6</v>
      </c>
      <c r="H328" s="160">
        <f t="shared" si="39"/>
        <v>0</v>
      </c>
      <c r="I328" s="160">
        <f>'JSM Eingabe+TW'!$K$18*3.6*24</f>
        <v>0</v>
      </c>
      <c r="J328" s="159">
        <f t="shared" si="33"/>
        <v>9.9999999999999995E-7</v>
      </c>
      <c r="K328" s="143">
        <f t="shared" si="34"/>
        <v>9.9999999999999995E-7</v>
      </c>
      <c r="L328" s="161" t="str">
        <f t="shared" si="35"/>
        <v xml:space="preserve"> </v>
      </c>
      <c r="M328" s="162">
        <f t="shared" si="36"/>
        <v>9.9999999999999995E-7</v>
      </c>
      <c r="N328" s="162"/>
      <c r="V328" s="143"/>
      <c r="W328" s="142"/>
      <c r="X328" s="142"/>
      <c r="Y328" s="142"/>
      <c r="Z328" s="142"/>
      <c r="AA328" s="142"/>
    </row>
    <row r="329" spans="2:27" s="141" customFormat="1" x14ac:dyDescent="0.2">
      <c r="B329" s="157">
        <v>37531</v>
      </c>
      <c r="C329" s="158">
        <v>275</v>
      </c>
      <c r="D329" s="159">
        <f>'JSM Eingabe+TW'!DF33</f>
        <v>9.9999999999999995E-7</v>
      </c>
      <c r="E329" s="159">
        <f t="shared" si="37"/>
        <v>0</v>
      </c>
      <c r="F329" s="163">
        <f t="shared" si="40"/>
        <v>9.9999999999999995E-7</v>
      </c>
      <c r="G329" s="160">
        <f t="shared" si="38"/>
        <v>1.1999999999999999E-6</v>
      </c>
      <c r="H329" s="160">
        <f t="shared" si="39"/>
        <v>0</v>
      </c>
      <c r="I329" s="160">
        <f>'JSM Eingabe+TW'!$K$18*3.6*24</f>
        <v>0</v>
      </c>
      <c r="J329" s="159">
        <f t="shared" si="33"/>
        <v>9.9999999999999995E-7</v>
      </c>
      <c r="K329" s="143">
        <f t="shared" si="34"/>
        <v>9.9999999999999995E-7</v>
      </c>
      <c r="L329" s="161" t="str">
        <f t="shared" si="35"/>
        <v xml:space="preserve"> </v>
      </c>
      <c r="M329" s="162">
        <f t="shared" si="36"/>
        <v>9.9999999999999995E-7</v>
      </c>
      <c r="N329" s="162"/>
      <c r="V329" s="143"/>
      <c r="W329" s="142"/>
      <c r="X329" s="142"/>
      <c r="Y329" s="142"/>
      <c r="Z329" s="142"/>
      <c r="AA329" s="142"/>
    </row>
    <row r="330" spans="2:27" s="141" customFormat="1" x14ac:dyDescent="0.2">
      <c r="B330" s="157">
        <v>37532</v>
      </c>
      <c r="C330" s="158">
        <v>276</v>
      </c>
      <c r="D330" s="159">
        <f>'JSM Eingabe+TW'!DF34</f>
        <v>9.9999999999999995E-7</v>
      </c>
      <c r="E330" s="159">
        <f t="shared" si="37"/>
        <v>0</v>
      </c>
      <c r="F330" s="163">
        <f t="shared" si="40"/>
        <v>9.9999999999999995E-7</v>
      </c>
      <c r="G330" s="160">
        <f t="shared" si="38"/>
        <v>1.1999999999999999E-6</v>
      </c>
      <c r="H330" s="160">
        <f t="shared" si="39"/>
        <v>0</v>
      </c>
      <c r="I330" s="160">
        <f>'JSM Eingabe+TW'!$K$18*3.6*24</f>
        <v>0</v>
      </c>
      <c r="J330" s="159">
        <f t="shared" si="33"/>
        <v>9.9999999999999995E-7</v>
      </c>
      <c r="K330" s="143">
        <f t="shared" si="34"/>
        <v>9.9999999999999995E-7</v>
      </c>
      <c r="L330" s="161" t="str">
        <f t="shared" si="35"/>
        <v xml:space="preserve"> </v>
      </c>
      <c r="M330" s="162">
        <f t="shared" si="36"/>
        <v>9.9999999999999995E-7</v>
      </c>
      <c r="N330" s="162"/>
      <c r="V330" s="143"/>
      <c r="W330" s="142"/>
      <c r="X330" s="142"/>
      <c r="Y330" s="142"/>
      <c r="Z330" s="142"/>
      <c r="AA330" s="142"/>
    </row>
    <row r="331" spans="2:27" s="141" customFormat="1" x14ac:dyDescent="0.2">
      <c r="B331" s="157">
        <v>37533</v>
      </c>
      <c r="C331" s="158">
        <v>277</v>
      </c>
      <c r="D331" s="159">
        <f>'JSM Eingabe+TW'!DF35</f>
        <v>9.9999999999999995E-7</v>
      </c>
      <c r="E331" s="159">
        <f t="shared" si="37"/>
        <v>0</v>
      </c>
      <c r="F331" s="163">
        <f t="shared" si="40"/>
        <v>9.9999999999999995E-7</v>
      </c>
      <c r="G331" s="160">
        <f t="shared" si="38"/>
        <v>1.1999999999999999E-6</v>
      </c>
      <c r="H331" s="160">
        <f t="shared" si="39"/>
        <v>0</v>
      </c>
      <c r="I331" s="160">
        <f>'JSM Eingabe+TW'!$K$18*3.6*24</f>
        <v>0</v>
      </c>
      <c r="J331" s="159">
        <f t="shared" si="33"/>
        <v>9.9999999999999995E-7</v>
      </c>
      <c r="K331" s="143">
        <f t="shared" si="34"/>
        <v>9.9999999999999995E-7</v>
      </c>
      <c r="L331" s="161" t="str">
        <f t="shared" si="35"/>
        <v xml:space="preserve"> </v>
      </c>
      <c r="M331" s="162">
        <f t="shared" si="36"/>
        <v>9.9999999999999995E-7</v>
      </c>
      <c r="N331" s="162"/>
      <c r="V331" s="143"/>
      <c r="W331" s="142"/>
      <c r="X331" s="142"/>
      <c r="Y331" s="142"/>
      <c r="Z331" s="142"/>
      <c r="AA331" s="142"/>
    </row>
    <row r="332" spans="2:27" s="141" customFormat="1" x14ac:dyDescent="0.2">
      <c r="B332" s="157">
        <v>37534</v>
      </c>
      <c r="C332" s="158">
        <v>278</v>
      </c>
      <c r="D332" s="159">
        <f>'JSM Eingabe+TW'!DF36</f>
        <v>9.9999999999999995E-7</v>
      </c>
      <c r="E332" s="159">
        <f t="shared" si="37"/>
        <v>0</v>
      </c>
      <c r="F332" s="163">
        <f t="shared" si="40"/>
        <v>9.9999999999999995E-7</v>
      </c>
      <c r="G332" s="160">
        <f t="shared" si="38"/>
        <v>1.1999999999999999E-6</v>
      </c>
      <c r="H332" s="160">
        <f t="shared" si="39"/>
        <v>0</v>
      </c>
      <c r="I332" s="160">
        <f>'JSM Eingabe+TW'!$K$18*3.6*24</f>
        <v>0</v>
      </c>
      <c r="J332" s="159">
        <f t="shared" si="33"/>
        <v>9.9999999999999995E-7</v>
      </c>
      <c r="K332" s="143">
        <f t="shared" si="34"/>
        <v>9.9999999999999995E-7</v>
      </c>
      <c r="L332" s="161" t="str">
        <f t="shared" si="35"/>
        <v xml:space="preserve"> </v>
      </c>
      <c r="M332" s="162">
        <f t="shared" si="36"/>
        <v>9.9999999999999995E-7</v>
      </c>
      <c r="N332" s="162"/>
      <c r="V332" s="143"/>
      <c r="W332" s="142"/>
      <c r="X332" s="142"/>
      <c r="Y332" s="142"/>
      <c r="Z332" s="142"/>
      <c r="AA332" s="142"/>
    </row>
    <row r="333" spans="2:27" s="141" customFormat="1" x14ac:dyDescent="0.2">
      <c r="B333" s="157">
        <v>37535</v>
      </c>
      <c r="C333" s="158">
        <v>279</v>
      </c>
      <c r="D333" s="159">
        <f>'JSM Eingabe+TW'!DF37</f>
        <v>9.9999999999999995E-7</v>
      </c>
      <c r="E333" s="159">
        <f t="shared" si="37"/>
        <v>0</v>
      </c>
      <c r="F333" s="163">
        <f t="shared" si="40"/>
        <v>9.9999999999999995E-7</v>
      </c>
      <c r="G333" s="160">
        <f t="shared" si="38"/>
        <v>1.1999999999999999E-6</v>
      </c>
      <c r="H333" s="160">
        <f t="shared" si="39"/>
        <v>0</v>
      </c>
      <c r="I333" s="160">
        <f>'JSM Eingabe+TW'!$K$18*3.6*24</f>
        <v>0</v>
      </c>
      <c r="J333" s="159">
        <f t="shared" si="33"/>
        <v>9.9999999999999995E-7</v>
      </c>
      <c r="K333" s="143">
        <f t="shared" si="34"/>
        <v>9.9999999999999995E-7</v>
      </c>
      <c r="L333" s="161" t="str">
        <f t="shared" si="35"/>
        <v xml:space="preserve"> </v>
      </c>
      <c r="M333" s="162">
        <f t="shared" si="36"/>
        <v>9.9999999999999995E-7</v>
      </c>
      <c r="N333" s="162"/>
      <c r="V333" s="143"/>
      <c r="W333" s="142"/>
      <c r="X333" s="142"/>
      <c r="Y333" s="142"/>
      <c r="Z333" s="142"/>
      <c r="AA333" s="142"/>
    </row>
    <row r="334" spans="2:27" s="141" customFormat="1" x14ac:dyDescent="0.2">
      <c r="B334" s="157">
        <v>37536</v>
      </c>
      <c r="C334" s="158">
        <v>280</v>
      </c>
      <c r="D334" s="159">
        <f>'JSM Eingabe+TW'!DF38</f>
        <v>9.9999999999999995E-7</v>
      </c>
      <c r="E334" s="159">
        <f t="shared" si="37"/>
        <v>0</v>
      </c>
      <c r="F334" s="163">
        <f t="shared" si="40"/>
        <v>9.9999999999999995E-7</v>
      </c>
      <c r="G334" s="160">
        <f t="shared" si="38"/>
        <v>1.1999999999999999E-6</v>
      </c>
      <c r="H334" s="160">
        <f t="shared" si="39"/>
        <v>0</v>
      </c>
      <c r="I334" s="160">
        <f>'JSM Eingabe+TW'!$K$18*3.6*24</f>
        <v>0</v>
      </c>
      <c r="J334" s="159">
        <f t="shared" si="33"/>
        <v>9.9999999999999995E-7</v>
      </c>
      <c r="K334" s="143">
        <f t="shared" si="34"/>
        <v>9.9999999999999995E-7</v>
      </c>
      <c r="L334" s="161" t="str">
        <f t="shared" si="35"/>
        <v xml:space="preserve"> </v>
      </c>
      <c r="M334" s="162">
        <f t="shared" si="36"/>
        <v>9.9999999999999995E-7</v>
      </c>
      <c r="N334" s="162"/>
      <c r="V334" s="143"/>
      <c r="W334" s="142"/>
      <c r="X334" s="142"/>
      <c r="Y334" s="142"/>
      <c r="Z334" s="142"/>
      <c r="AA334" s="142"/>
    </row>
    <row r="335" spans="2:27" s="141" customFormat="1" x14ac:dyDescent="0.2">
      <c r="B335" s="157">
        <v>37537</v>
      </c>
      <c r="C335" s="158">
        <v>281</v>
      </c>
      <c r="D335" s="159">
        <f>'JSM Eingabe+TW'!DF39</f>
        <v>9.9999999999999995E-7</v>
      </c>
      <c r="E335" s="159">
        <f t="shared" si="37"/>
        <v>0</v>
      </c>
      <c r="F335" s="163">
        <f t="shared" si="40"/>
        <v>9.9999999999999995E-7</v>
      </c>
      <c r="G335" s="160">
        <f t="shared" si="38"/>
        <v>1.1999999999999999E-6</v>
      </c>
      <c r="H335" s="160">
        <f t="shared" si="39"/>
        <v>0</v>
      </c>
      <c r="I335" s="160">
        <f>'JSM Eingabe+TW'!$K$18*3.6*24</f>
        <v>0</v>
      </c>
      <c r="J335" s="159">
        <f t="shared" si="33"/>
        <v>9.9999999999999995E-7</v>
      </c>
      <c r="K335" s="143">
        <f t="shared" si="34"/>
        <v>9.9999999999999995E-7</v>
      </c>
      <c r="L335" s="161" t="str">
        <f t="shared" si="35"/>
        <v xml:space="preserve"> </v>
      </c>
      <c r="M335" s="162">
        <f t="shared" si="36"/>
        <v>9.9999999999999995E-7</v>
      </c>
      <c r="N335" s="162"/>
      <c r="V335" s="143"/>
      <c r="W335" s="142"/>
      <c r="X335" s="142"/>
      <c r="Y335" s="142"/>
      <c r="Z335" s="142"/>
      <c r="AA335" s="142"/>
    </row>
    <row r="336" spans="2:27" s="141" customFormat="1" x14ac:dyDescent="0.2">
      <c r="B336" s="157">
        <v>37538</v>
      </c>
      <c r="C336" s="158">
        <v>282</v>
      </c>
      <c r="D336" s="159">
        <f>'JSM Eingabe+TW'!DF40</f>
        <v>9.9999999999999995E-7</v>
      </c>
      <c r="E336" s="159">
        <f t="shared" si="37"/>
        <v>0</v>
      </c>
      <c r="F336" s="163">
        <f t="shared" si="40"/>
        <v>9.9999999999999995E-7</v>
      </c>
      <c r="G336" s="160">
        <f t="shared" si="38"/>
        <v>1.1999999999999999E-6</v>
      </c>
      <c r="H336" s="160">
        <f t="shared" si="39"/>
        <v>0</v>
      </c>
      <c r="I336" s="160">
        <f>'JSM Eingabe+TW'!$K$18*3.6*24</f>
        <v>0</v>
      </c>
      <c r="J336" s="159">
        <f t="shared" si="33"/>
        <v>9.9999999999999995E-7</v>
      </c>
      <c r="K336" s="143">
        <f t="shared" si="34"/>
        <v>9.9999999999999995E-7</v>
      </c>
      <c r="L336" s="161" t="str">
        <f t="shared" si="35"/>
        <v xml:space="preserve"> </v>
      </c>
      <c r="M336" s="162">
        <f t="shared" si="36"/>
        <v>9.9999999999999995E-7</v>
      </c>
      <c r="N336" s="162"/>
      <c r="V336" s="143"/>
      <c r="W336" s="142"/>
      <c r="X336" s="142"/>
      <c r="Y336" s="142"/>
      <c r="Z336" s="142"/>
      <c r="AA336" s="142"/>
    </row>
    <row r="337" spans="2:27" s="141" customFormat="1" x14ac:dyDescent="0.2">
      <c r="B337" s="157">
        <v>37539</v>
      </c>
      <c r="C337" s="158">
        <v>283</v>
      </c>
      <c r="D337" s="159">
        <f>'JSM Eingabe+TW'!DF41</f>
        <v>9.9999999999999995E-7</v>
      </c>
      <c r="E337" s="159">
        <f t="shared" si="37"/>
        <v>0</v>
      </c>
      <c r="F337" s="163">
        <f t="shared" si="40"/>
        <v>9.9999999999999995E-7</v>
      </c>
      <c r="G337" s="160">
        <f t="shared" si="38"/>
        <v>1.1999999999999999E-6</v>
      </c>
      <c r="H337" s="160">
        <f t="shared" si="39"/>
        <v>0</v>
      </c>
      <c r="I337" s="160">
        <f>'JSM Eingabe+TW'!$K$18*3.6*24</f>
        <v>0</v>
      </c>
      <c r="J337" s="159">
        <f t="shared" si="33"/>
        <v>9.9999999999999995E-7</v>
      </c>
      <c r="K337" s="143">
        <f t="shared" si="34"/>
        <v>9.9999999999999995E-7</v>
      </c>
      <c r="L337" s="161" t="str">
        <f t="shared" si="35"/>
        <v xml:space="preserve"> </v>
      </c>
      <c r="M337" s="162">
        <f t="shared" si="36"/>
        <v>9.9999999999999995E-7</v>
      </c>
      <c r="N337" s="162"/>
      <c r="V337" s="143"/>
      <c r="W337" s="142"/>
      <c r="X337" s="142"/>
      <c r="Y337" s="142"/>
      <c r="Z337" s="142"/>
      <c r="AA337" s="142"/>
    </row>
    <row r="338" spans="2:27" s="141" customFormat="1" x14ac:dyDescent="0.2">
      <c r="B338" s="157">
        <v>37540</v>
      </c>
      <c r="C338" s="158">
        <v>284</v>
      </c>
      <c r="D338" s="159">
        <f>'JSM Eingabe+TW'!DF42</f>
        <v>9.9999999999999995E-7</v>
      </c>
      <c r="E338" s="159">
        <f t="shared" si="37"/>
        <v>0</v>
      </c>
      <c r="F338" s="163">
        <f t="shared" si="40"/>
        <v>9.9999999999999995E-7</v>
      </c>
      <c r="G338" s="160">
        <f t="shared" si="38"/>
        <v>1.1999999999999999E-6</v>
      </c>
      <c r="H338" s="160">
        <f t="shared" si="39"/>
        <v>0</v>
      </c>
      <c r="I338" s="160">
        <f>'JSM Eingabe+TW'!$K$18*3.6*24</f>
        <v>0</v>
      </c>
      <c r="J338" s="159">
        <f t="shared" si="33"/>
        <v>9.9999999999999995E-7</v>
      </c>
      <c r="K338" s="143">
        <f t="shared" si="34"/>
        <v>9.9999999999999995E-7</v>
      </c>
      <c r="L338" s="161" t="str">
        <f t="shared" si="35"/>
        <v xml:space="preserve"> </v>
      </c>
      <c r="M338" s="162">
        <f t="shared" si="36"/>
        <v>9.9999999999999995E-7</v>
      </c>
      <c r="N338" s="162"/>
      <c r="V338" s="143"/>
      <c r="W338" s="142"/>
      <c r="X338" s="142"/>
      <c r="Y338" s="142"/>
      <c r="Z338" s="142"/>
      <c r="AA338" s="142"/>
    </row>
    <row r="339" spans="2:27" s="141" customFormat="1" x14ac:dyDescent="0.2">
      <c r="B339" s="157">
        <v>37541</v>
      </c>
      <c r="C339" s="158">
        <v>285</v>
      </c>
      <c r="D339" s="159">
        <f>'JSM Eingabe+TW'!DF43</f>
        <v>9.9999999999999995E-7</v>
      </c>
      <c r="E339" s="159">
        <f t="shared" si="37"/>
        <v>0</v>
      </c>
      <c r="F339" s="163">
        <f t="shared" si="40"/>
        <v>9.9999999999999995E-7</v>
      </c>
      <c r="G339" s="160">
        <f t="shared" si="38"/>
        <v>1.1999999999999999E-6</v>
      </c>
      <c r="H339" s="160">
        <f t="shared" si="39"/>
        <v>0</v>
      </c>
      <c r="I339" s="160">
        <f>'JSM Eingabe+TW'!$K$18*3.6*24</f>
        <v>0</v>
      </c>
      <c r="J339" s="159">
        <f t="shared" si="33"/>
        <v>9.9999999999999995E-7</v>
      </c>
      <c r="K339" s="143">
        <f t="shared" si="34"/>
        <v>9.9999999999999995E-7</v>
      </c>
      <c r="L339" s="161" t="str">
        <f t="shared" si="35"/>
        <v xml:space="preserve"> </v>
      </c>
      <c r="M339" s="162">
        <f t="shared" si="36"/>
        <v>9.9999999999999995E-7</v>
      </c>
      <c r="N339" s="162"/>
      <c r="V339" s="143"/>
      <c r="W339" s="142"/>
      <c r="X339" s="142"/>
      <c r="Y339" s="142"/>
      <c r="Z339" s="142"/>
      <c r="AA339" s="142"/>
    </row>
    <row r="340" spans="2:27" s="141" customFormat="1" x14ac:dyDescent="0.2">
      <c r="B340" s="157">
        <v>37542</v>
      </c>
      <c r="C340" s="158">
        <v>286</v>
      </c>
      <c r="D340" s="159">
        <f>'JSM Eingabe+TW'!DF44</f>
        <v>9.9999999999999995E-7</v>
      </c>
      <c r="E340" s="159">
        <f t="shared" si="37"/>
        <v>0</v>
      </c>
      <c r="F340" s="163">
        <f t="shared" si="40"/>
        <v>9.9999999999999995E-7</v>
      </c>
      <c r="G340" s="160">
        <f t="shared" si="38"/>
        <v>1.1999999999999999E-6</v>
      </c>
      <c r="H340" s="160">
        <f t="shared" si="39"/>
        <v>0</v>
      </c>
      <c r="I340" s="160">
        <f>'JSM Eingabe+TW'!$K$18*3.6*24</f>
        <v>0</v>
      </c>
      <c r="J340" s="159">
        <f t="shared" si="33"/>
        <v>9.9999999999999995E-7</v>
      </c>
      <c r="K340" s="143">
        <f t="shared" si="34"/>
        <v>9.9999999999999995E-7</v>
      </c>
      <c r="L340" s="161" t="str">
        <f t="shared" si="35"/>
        <v xml:space="preserve"> </v>
      </c>
      <c r="M340" s="162">
        <f t="shared" si="36"/>
        <v>9.9999999999999995E-7</v>
      </c>
      <c r="N340" s="162"/>
      <c r="V340" s="143"/>
      <c r="W340" s="142"/>
      <c r="X340" s="142"/>
      <c r="Y340" s="142"/>
      <c r="Z340" s="142"/>
      <c r="AA340" s="142"/>
    </row>
    <row r="341" spans="2:27" s="141" customFormat="1" x14ac:dyDescent="0.2">
      <c r="B341" s="157">
        <v>37543</v>
      </c>
      <c r="C341" s="158">
        <v>287</v>
      </c>
      <c r="D341" s="159">
        <f>'JSM Eingabe+TW'!DF45</f>
        <v>9.9999999999999995E-7</v>
      </c>
      <c r="E341" s="159">
        <f t="shared" si="37"/>
        <v>0</v>
      </c>
      <c r="F341" s="163">
        <f t="shared" si="40"/>
        <v>9.9999999999999995E-7</v>
      </c>
      <c r="G341" s="160">
        <f t="shared" si="38"/>
        <v>1.1999999999999999E-6</v>
      </c>
      <c r="H341" s="160">
        <f t="shared" si="39"/>
        <v>0</v>
      </c>
      <c r="I341" s="160">
        <f>'JSM Eingabe+TW'!$K$18*3.6*24</f>
        <v>0</v>
      </c>
      <c r="J341" s="159">
        <f t="shared" si="33"/>
        <v>9.9999999999999995E-7</v>
      </c>
      <c r="K341" s="143">
        <f t="shared" si="34"/>
        <v>9.9999999999999995E-7</v>
      </c>
      <c r="L341" s="161" t="str">
        <f t="shared" si="35"/>
        <v xml:space="preserve"> </v>
      </c>
      <c r="M341" s="162">
        <f t="shared" si="36"/>
        <v>9.9999999999999995E-7</v>
      </c>
      <c r="N341" s="162"/>
      <c r="V341" s="143"/>
      <c r="W341" s="142"/>
      <c r="X341" s="142"/>
      <c r="Y341" s="142"/>
      <c r="Z341" s="142"/>
      <c r="AA341" s="142"/>
    </row>
    <row r="342" spans="2:27" s="141" customFormat="1" x14ac:dyDescent="0.2">
      <c r="B342" s="157">
        <v>37544</v>
      </c>
      <c r="C342" s="158">
        <v>288</v>
      </c>
      <c r="D342" s="159">
        <f>'JSM Eingabe+TW'!DF46</f>
        <v>9.9999999999999995E-7</v>
      </c>
      <c r="E342" s="159">
        <f t="shared" si="37"/>
        <v>0</v>
      </c>
      <c r="F342" s="163">
        <f t="shared" si="40"/>
        <v>9.9999999999999995E-7</v>
      </c>
      <c r="G342" s="160">
        <f t="shared" si="38"/>
        <v>1.1999999999999999E-6</v>
      </c>
      <c r="H342" s="160">
        <f t="shared" si="39"/>
        <v>0</v>
      </c>
      <c r="I342" s="160">
        <f>'JSM Eingabe+TW'!$K$18*3.6*24</f>
        <v>0</v>
      </c>
      <c r="J342" s="159">
        <f t="shared" si="33"/>
        <v>9.9999999999999995E-7</v>
      </c>
      <c r="K342" s="143">
        <f t="shared" si="34"/>
        <v>9.9999999999999995E-7</v>
      </c>
      <c r="L342" s="161" t="str">
        <f t="shared" si="35"/>
        <v xml:space="preserve"> </v>
      </c>
      <c r="M342" s="162">
        <f t="shared" si="36"/>
        <v>9.9999999999999995E-7</v>
      </c>
      <c r="N342" s="162"/>
      <c r="V342" s="143"/>
      <c r="W342" s="142"/>
      <c r="X342" s="142"/>
      <c r="Y342" s="142"/>
      <c r="Z342" s="142"/>
      <c r="AA342" s="142"/>
    </row>
    <row r="343" spans="2:27" s="141" customFormat="1" x14ac:dyDescent="0.2">
      <c r="B343" s="157">
        <v>37545</v>
      </c>
      <c r="C343" s="158">
        <v>289</v>
      </c>
      <c r="D343" s="159">
        <f>'JSM Eingabe+TW'!DF47</f>
        <v>9.9999999999999995E-7</v>
      </c>
      <c r="E343" s="159">
        <f t="shared" si="37"/>
        <v>0</v>
      </c>
      <c r="F343" s="163">
        <f t="shared" si="40"/>
        <v>9.9999999999999995E-7</v>
      </c>
      <c r="G343" s="160">
        <f t="shared" si="38"/>
        <v>1.1999999999999999E-6</v>
      </c>
      <c r="H343" s="160">
        <f t="shared" si="39"/>
        <v>0</v>
      </c>
      <c r="I343" s="160">
        <f>'JSM Eingabe+TW'!$K$18*3.6*24</f>
        <v>0</v>
      </c>
      <c r="J343" s="159">
        <f t="shared" si="33"/>
        <v>9.9999999999999995E-7</v>
      </c>
      <c r="K343" s="143">
        <f t="shared" si="34"/>
        <v>9.9999999999999995E-7</v>
      </c>
      <c r="L343" s="161" t="str">
        <f t="shared" si="35"/>
        <v xml:space="preserve"> </v>
      </c>
      <c r="M343" s="162">
        <f t="shared" si="36"/>
        <v>9.9999999999999995E-7</v>
      </c>
      <c r="N343" s="162"/>
      <c r="V343" s="143"/>
      <c r="W343" s="142"/>
      <c r="X343" s="142"/>
      <c r="Y343" s="142"/>
      <c r="Z343" s="142"/>
      <c r="AA343" s="142"/>
    </row>
    <row r="344" spans="2:27" s="141" customFormat="1" x14ac:dyDescent="0.2">
      <c r="B344" s="157">
        <v>37546</v>
      </c>
      <c r="C344" s="158">
        <v>290</v>
      </c>
      <c r="D344" s="159">
        <f>'JSM Eingabe+TW'!DF48</f>
        <v>9.9999999999999995E-7</v>
      </c>
      <c r="E344" s="159">
        <f t="shared" si="37"/>
        <v>0</v>
      </c>
      <c r="F344" s="163">
        <f t="shared" si="40"/>
        <v>9.9999999999999995E-7</v>
      </c>
      <c r="G344" s="160">
        <f t="shared" si="38"/>
        <v>1.1999999999999999E-6</v>
      </c>
      <c r="H344" s="160">
        <f t="shared" si="39"/>
        <v>0</v>
      </c>
      <c r="I344" s="160">
        <f>'JSM Eingabe+TW'!$K$18*3.6*24</f>
        <v>0</v>
      </c>
      <c r="J344" s="159">
        <f t="shared" si="33"/>
        <v>9.9999999999999995E-7</v>
      </c>
      <c r="K344" s="143">
        <f t="shared" si="34"/>
        <v>9.9999999999999995E-7</v>
      </c>
      <c r="L344" s="161" t="str">
        <f t="shared" si="35"/>
        <v xml:space="preserve"> </v>
      </c>
      <c r="M344" s="162">
        <f t="shared" si="36"/>
        <v>9.9999999999999995E-7</v>
      </c>
      <c r="N344" s="162"/>
      <c r="V344" s="143"/>
      <c r="W344" s="142"/>
      <c r="X344" s="142"/>
      <c r="Y344" s="142"/>
      <c r="Z344" s="142"/>
      <c r="AA344" s="142"/>
    </row>
    <row r="345" spans="2:27" s="141" customFormat="1" x14ac:dyDescent="0.2">
      <c r="B345" s="157">
        <v>37547</v>
      </c>
      <c r="C345" s="158">
        <v>291</v>
      </c>
      <c r="D345" s="159">
        <f>'JSM Eingabe+TW'!DF49</f>
        <v>9.9999999999999995E-7</v>
      </c>
      <c r="E345" s="159">
        <f t="shared" si="37"/>
        <v>0</v>
      </c>
      <c r="F345" s="163">
        <f t="shared" si="40"/>
        <v>9.9999999999999995E-7</v>
      </c>
      <c r="G345" s="160">
        <f t="shared" si="38"/>
        <v>1.1999999999999999E-6</v>
      </c>
      <c r="H345" s="160">
        <f t="shared" si="39"/>
        <v>0</v>
      </c>
      <c r="I345" s="160">
        <f>'JSM Eingabe+TW'!$K$18*3.6*24</f>
        <v>0</v>
      </c>
      <c r="J345" s="159">
        <f t="shared" si="33"/>
        <v>9.9999999999999995E-7</v>
      </c>
      <c r="K345" s="143">
        <f t="shared" si="34"/>
        <v>9.9999999999999995E-7</v>
      </c>
      <c r="L345" s="161" t="str">
        <f t="shared" si="35"/>
        <v xml:space="preserve"> </v>
      </c>
      <c r="M345" s="162">
        <f t="shared" si="36"/>
        <v>9.9999999999999995E-7</v>
      </c>
      <c r="N345" s="162"/>
      <c r="V345" s="143"/>
      <c r="W345" s="142"/>
      <c r="X345" s="142"/>
      <c r="Y345" s="142"/>
      <c r="Z345" s="142"/>
      <c r="AA345" s="142"/>
    </row>
    <row r="346" spans="2:27" s="141" customFormat="1" x14ac:dyDescent="0.2">
      <c r="B346" s="157">
        <v>37548</v>
      </c>
      <c r="C346" s="158">
        <v>292</v>
      </c>
      <c r="D346" s="159">
        <f>'JSM Eingabe+TW'!DF50</f>
        <v>9.9999999999999995E-7</v>
      </c>
      <c r="E346" s="159">
        <f t="shared" si="37"/>
        <v>0</v>
      </c>
      <c r="F346" s="163">
        <f t="shared" si="40"/>
        <v>9.9999999999999995E-7</v>
      </c>
      <c r="G346" s="160">
        <f t="shared" si="38"/>
        <v>1.1999999999999999E-6</v>
      </c>
      <c r="H346" s="160">
        <f t="shared" si="39"/>
        <v>0</v>
      </c>
      <c r="I346" s="160">
        <f>'JSM Eingabe+TW'!$K$18*3.6*24</f>
        <v>0</v>
      </c>
      <c r="J346" s="159">
        <f t="shared" si="33"/>
        <v>9.9999999999999995E-7</v>
      </c>
      <c r="K346" s="143">
        <f t="shared" si="34"/>
        <v>9.9999999999999995E-7</v>
      </c>
      <c r="L346" s="161" t="str">
        <f t="shared" si="35"/>
        <v xml:space="preserve"> </v>
      </c>
      <c r="M346" s="162">
        <f t="shared" si="36"/>
        <v>9.9999999999999995E-7</v>
      </c>
      <c r="N346" s="162"/>
      <c r="V346" s="143"/>
      <c r="W346" s="142"/>
      <c r="X346" s="142"/>
      <c r="Y346" s="142"/>
      <c r="Z346" s="142"/>
      <c r="AA346" s="142"/>
    </row>
    <row r="347" spans="2:27" s="141" customFormat="1" x14ac:dyDescent="0.2">
      <c r="B347" s="157">
        <v>37549</v>
      </c>
      <c r="C347" s="158">
        <v>293</v>
      </c>
      <c r="D347" s="159">
        <f>'JSM Eingabe+TW'!DF51</f>
        <v>9.9999999999999995E-7</v>
      </c>
      <c r="E347" s="159">
        <f t="shared" si="37"/>
        <v>0</v>
      </c>
      <c r="F347" s="163">
        <f t="shared" si="40"/>
        <v>9.9999999999999995E-7</v>
      </c>
      <c r="G347" s="160">
        <f t="shared" si="38"/>
        <v>1.1999999999999999E-6</v>
      </c>
      <c r="H347" s="160">
        <f t="shared" si="39"/>
        <v>0</v>
      </c>
      <c r="I347" s="160">
        <f>'JSM Eingabe+TW'!$K$18*3.6*24</f>
        <v>0</v>
      </c>
      <c r="J347" s="159">
        <f t="shared" si="33"/>
        <v>9.9999999999999995E-7</v>
      </c>
      <c r="K347" s="143">
        <f t="shared" si="34"/>
        <v>9.9999999999999995E-7</v>
      </c>
      <c r="L347" s="161" t="str">
        <f t="shared" si="35"/>
        <v xml:space="preserve"> </v>
      </c>
      <c r="M347" s="162">
        <f t="shared" si="36"/>
        <v>9.9999999999999995E-7</v>
      </c>
      <c r="N347" s="162"/>
      <c r="V347" s="143"/>
      <c r="W347" s="142"/>
      <c r="X347" s="142"/>
      <c r="Y347" s="142"/>
      <c r="Z347" s="142"/>
      <c r="AA347" s="142"/>
    </row>
    <row r="348" spans="2:27" s="141" customFormat="1" x14ac:dyDescent="0.2">
      <c r="B348" s="157">
        <v>37550</v>
      </c>
      <c r="C348" s="158">
        <v>294</v>
      </c>
      <c r="D348" s="159">
        <f>'JSM Eingabe+TW'!DF52</f>
        <v>9.9999999999999995E-7</v>
      </c>
      <c r="E348" s="159">
        <f t="shared" si="37"/>
        <v>0</v>
      </c>
      <c r="F348" s="163">
        <f t="shared" si="40"/>
        <v>9.9999999999999995E-7</v>
      </c>
      <c r="G348" s="160">
        <f t="shared" si="38"/>
        <v>1.1999999999999999E-6</v>
      </c>
      <c r="H348" s="160">
        <f t="shared" si="39"/>
        <v>0</v>
      </c>
      <c r="I348" s="160">
        <f>'JSM Eingabe+TW'!$K$18*3.6*24</f>
        <v>0</v>
      </c>
      <c r="J348" s="159">
        <f t="shared" si="33"/>
        <v>9.9999999999999995E-7</v>
      </c>
      <c r="K348" s="143">
        <f t="shared" si="34"/>
        <v>9.9999999999999995E-7</v>
      </c>
      <c r="L348" s="161" t="str">
        <f t="shared" si="35"/>
        <v xml:space="preserve"> </v>
      </c>
      <c r="M348" s="162">
        <f t="shared" si="36"/>
        <v>9.9999999999999995E-7</v>
      </c>
      <c r="N348" s="162"/>
      <c r="V348" s="143"/>
      <c r="W348" s="142"/>
      <c r="X348" s="142"/>
      <c r="Y348" s="142"/>
      <c r="Z348" s="142"/>
      <c r="AA348" s="142"/>
    </row>
    <row r="349" spans="2:27" s="141" customFormat="1" x14ac:dyDescent="0.2">
      <c r="B349" s="157">
        <v>37551</v>
      </c>
      <c r="C349" s="158">
        <v>295</v>
      </c>
      <c r="D349" s="159">
        <f>'JSM Eingabe+TW'!DF53</f>
        <v>9.9999999999999995E-7</v>
      </c>
      <c r="E349" s="159">
        <f t="shared" si="37"/>
        <v>0</v>
      </c>
      <c r="F349" s="163">
        <f t="shared" si="40"/>
        <v>9.9999999999999995E-7</v>
      </c>
      <c r="G349" s="160">
        <f t="shared" si="38"/>
        <v>1.1999999999999999E-6</v>
      </c>
      <c r="H349" s="160">
        <f t="shared" si="39"/>
        <v>0</v>
      </c>
      <c r="I349" s="160">
        <f>'JSM Eingabe+TW'!$K$18*3.6*24</f>
        <v>0</v>
      </c>
      <c r="J349" s="159">
        <f t="shared" si="33"/>
        <v>9.9999999999999995E-7</v>
      </c>
      <c r="K349" s="143">
        <f t="shared" si="34"/>
        <v>9.9999999999999995E-7</v>
      </c>
      <c r="L349" s="161" t="str">
        <f t="shared" si="35"/>
        <v xml:space="preserve"> </v>
      </c>
      <c r="M349" s="162">
        <f t="shared" si="36"/>
        <v>9.9999999999999995E-7</v>
      </c>
      <c r="N349" s="162"/>
      <c r="V349" s="143"/>
      <c r="W349" s="142"/>
      <c r="X349" s="142"/>
      <c r="Y349" s="142"/>
      <c r="Z349" s="142"/>
      <c r="AA349" s="142"/>
    </row>
    <row r="350" spans="2:27" s="141" customFormat="1" x14ac:dyDescent="0.2">
      <c r="B350" s="157">
        <v>37552</v>
      </c>
      <c r="C350" s="158">
        <v>296</v>
      </c>
      <c r="D350" s="159">
        <f>'JSM Eingabe+TW'!DF54</f>
        <v>9.9999999999999995E-7</v>
      </c>
      <c r="E350" s="159">
        <f t="shared" si="37"/>
        <v>0</v>
      </c>
      <c r="F350" s="163">
        <f t="shared" si="40"/>
        <v>9.9999999999999995E-7</v>
      </c>
      <c r="G350" s="160">
        <f t="shared" si="38"/>
        <v>1.1999999999999999E-6</v>
      </c>
      <c r="H350" s="160">
        <f t="shared" si="39"/>
        <v>0</v>
      </c>
      <c r="I350" s="160">
        <f>'JSM Eingabe+TW'!$K$18*3.6*24</f>
        <v>0</v>
      </c>
      <c r="J350" s="159">
        <f t="shared" si="33"/>
        <v>9.9999999999999995E-7</v>
      </c>
      <c r="K350" s="143">
        <f t="shared" si="34"/>
        <v>9.9999999999999995E-7</v>
      </c>
      <c r="L350" s="161" t="str">
        <f t="shared" si="35"/>
        <v xml:space="preserve"> </v>
      </c>
      <c r="M350" s="162">
        <f t="shared" si="36"/>
        <v>9.9999999999999995E-7</v>
      </c>
      <c r="N350" s="162"/>
      <c r="V350" s="143"/>
      <c r="W350" s="142"/>
      <c r="X350" s="142"/>
      <c r="Y350" s="142"/>
      <c r="Z350" s="142"/>
      <c r="AA350" s="142"/>
    </row>
    <row r="351" spans="2:27" s="141" customFormat="1" x14ac:dyDescent="0.2">
      <c r="B351" s="157">
        <v>37553</v>
      </c>
      <c r="C351" s="158">
        <v>297</v>
      </c>
      <c r="D351" s="159">
        <f>'JSM Eingabe+TW'!DF55</f>
        <v>9.9999999999999995E-7</v>
      </c>
      <c r="E351" s="159">
        <f t="shared" si="37"/>
        <v>0</v>
      </c>
      <c r="F351" s="163">
        <f t="shared" si="40"/>
        <v>9.9999999999999995E-7</v>
      </c>
      <c r="G351" s="160">
        <f t="shared" si="38"/>
        <v>1.1999999999999999E-6</v>
      </c>
      <c r="H351" s="160">
        <f t="shared" si="39"/>
        <v>0</v>
      </c>
      <c r="I351" s="160">
        <f>'JSM Eingabe+TW'!$K$18*3.6*24</f>
        <v>0</v>
      </c>
      <c r="J351" s="159">
        <f t="shared" si="33"/>
        <v>9.9999999999999995E-7</v>
      </c>
      <c r="K351" s="143">
        <f t="shared" si="34"/>
        <v>9.9999999999999995E-7</v>
      </c>
      <c r="L351" s="161" t="str">
        <f t="shared" si="35"/>
        <v xml:space="preserve"> </v>
      </c>
      <c r="M351" s="162">
        <f t="shared" si="36"/>
        <v>9.9999999999999995E-7</v>
      </c>
      <c r="N351" s="162"/>
      <c r="V351" s="143"/>
      <c r="W351" s="142"/>
      <c r="X351" s="142"/>
      <c r="Y351" s="142"/>
      <c r="Z351" s="142"/>
      <c r="AA351" s="142"/>
    </row>
    <row r="352" spans="2:27" s="141" customFormat="1" x14ac:dyDescent="0.2">
      <c r="B352" s="157">
        <v>37554</v>
      </c>
      <c r="C352" s="158">
        <v>298</v>
      </c>
      <c r="D352" s="159">
        <f>'JSM Eingabe+TW'!DF56</f>
        <v>9.9999999999999995E-7</v>
      </c>
      <c r="E352" s="159">
        <f t="shared" si="37"/>
        <v>0</v>
      </c>
      <c r="F352" s="163">
        <f t="shared" si="40"/>
        <v>9.9999999999999995E-7</v>
      </c>
      <c r="G352" s="160">
        <f t="shared" si="38"/>
        <v>1.1999999999999999E-6</v>
      </c>
      <c r="H352" s="160">
        <f t="shared" si="39"/>
        <v>0</v>
      </c>
      <c r="I352" s="160">
        <f>'JSM Eingabe+TW'!$K$18*3.6*24</f>
        <v>0</v>
      </c>
      <c r="J352" s="159">
        <f t="shared" si="33"/>
        <v>9.9999999999999995E-7</v>
      </c>
      <c r="K352" s="143">
        <f t="shared" si="34"/>
        <v>9.9999999999999995E-7</v>
      </c>
      <c r="L352" s="161" t="str">
        <f t="shared" si="35"/>
        <v xml:space="preserve"> </v>
      </c>
      <c r="M352" s="162">
        <f t="shared" si="36"/>
        <v>9.9999999999999995E-7</v>
      </c>
      <c r="N352" s="162"/>
      <c r="V352" s="143"/>
      <c r="W352" s="142"/>
      <c r="X352" s="142"/>
      <c r="Y352" s="142"/>
      <c r="Z352" s="142"/>
      <c r="AA352" s="142"/>
    </row>
    <row r="353" spans="2:27" s="141" customFormat="1" x14ac:dyDescent="0.2">
      <c r="B353" s="157">
        <v>37555</v>
      </c>
      <c r="C353" s="158">
        <v>299</v>
      </c>
      <c r="D353" s="159">
        <f>'JSM Eingabe+TW'!DF57</f>
        <v>9.9999999999999995E-7</v>
      </c>
      <c r="E353" s="159">
        <f t="shared" si="37"/>
        <v>0</v>
      </c>
      <c r="F353" s="163">
        <f t="shared" si="40"/>
        <v>9.9999999999999995E-7</v>
      </c>
      <c r="G353" s="160">
        <f t="shared" si="38"/>
        <v>1.1999999999999999E-6</v>
      </c>
      <c r="H353" s="160">
        <f t="shared" si="39"/>
        <v>0</v>
      </c>
      <c r="I353" s="160">
        <f>'JSM Eingabe+TW'!$K$18*3.6*24</f>
        <v>0</v>
      </c>
      <c r="J353" s="159">
        <f t="shared" si="33"/>
        <v>9.9999999999999995E-7</v>
      </c>
      <c r="K353" s="143">
        <f t="shared" si="34"/>
        <v>9.9999999999999995E-7</v>
      </c>
      <c r="L353" s="161" t="str">
        <f t="shared" si="35"/>
        <v xml:space="preserve"> </v>
      </c>
      <c r="M353" s="162">
        <f t="shared" si="36"/>
        <v>9.9999999999999995E-7</v>
      </c>
      <c r="N353" s="162"/>
      <c r="V353" s="143"/>
      <c r="W353" s="142"/>
      <c r="X353" s="142"/>
      <c r="Y353" s="142"/>
      <c r="Z353" s="142"/>
      <c r="AA353" s="142"/>
    </row>
    <row r="354" spans="2:27" s="141" customFormat="1" x14ac:dyDescent="0.2">
      <c r="B354" s="157">
        <v>37556</v>
      </c>
      <c r="C354" s="158">
        <v>300</v>
      </c>
      <c r="D354" s="159">
        <f>'JSM Eingabe+TW'!DF58</f>
        <v>9.9999999999999995E-7</v>
      </c>
      <c r="E354" s="159">
        <f t="shared" si="37"/>
        <v>0</v>
      </c>
      <c r="F354" s="163">
        <f t="shared" si="40"/>
        <v>9.9999999999999995E-7</v>
      </c>
      <c r="G354" s="160">
        <f t="shared" si="38"/>
        <v>1.1999999999999999E-6</v>
      </c>
      <c r="H354" s="160">
        <f t="shared" si="39"/>
        <v>0</v>
      </c>
      <c r="I354" s="160">
        <f>'JSM Eingabe+TW'!$K$18*3.6*24</f>
        <v>0</v>
      </c>
      <c r="J354" s="159">
        <f t="shared" si="33"/>
        <v>9.9999999999999995E-7</v>
      </c>
      <c r="K354" s="143">
        <f t="shared" si="34"/>
        <v>9.9999999999999995E-7</v>
      </c>
      <c r="L354" s="161" t="str">
        <f t="shared" si="35"/>
        <v xml:space="preserve"> </v>
      </c>
      <c r="M354" s="162">
        <f t="shared" si="36"/>
        <v>9.9999999999999995E-7</v>
      </c>
      <c r="N354" s="162"/>
      <c r="V354" s="143"/>
      <c r="W354" s="142"/>
      <c r="X354" s="142"/>
      <c r="Y354" s="142"/>
      <c r="Z354" s="142"/>
      <c r="AA354" s="142"/>
    </row>
    <row r="355" spans="2:27" s="141" customFormat="1" x14ac:dyDescent="0.2">
      <c r="B355" s="157">
        <v>37557</v>
      </c>
      <c r="C355" s="158">
        <v>301</v>
      </c>
      <c r="D355" s="159">
        <f>'JSM Eingabe+TW'!DF59</f>
        <v>9.9999999999999995E-7</v>
      </c>
      <c r="E355" s="159">
        <f t="shared" si="37"/>
        <v>0</v>
      </c>
      <c r="F355" s="163">
        <f t="shared" si="40"/>
        <v>9.9999999999999995E-7</v>
      </c>
      <c r="G355" s="160">
        <f t="shared" si="38"/>
        <v>1.1999999999999999E-6</v>
      </c>
      <c r="H355" s="160">
        <f t="shared" si="39"/>
        <v>0</v>
      </c>
      <c r="I355" s="160">
        <f>'JSM Eingabe+TW'!$K$18*3.6*24</f>
        <v>0</v>
      </c>
      <c r="J355" s="159">
        <f t="shared" si="33"/>
        <v>9.9999999999999995E-7</v>
      </c>
      <c r="K355" s="143">
        <f t="shared" si="34"/>
        <v>9.9999999999999995E-7</v>
      </c>
      <c r="L355" s="161" t="str">
        <f t="shared" si="35"/>
        <v xml:space="preserve"> </v>
      </c>
      <c r="M355" s="162">
        <f t="shared" si="36"/>
        <v>9.9999999999999995E-7</v>
      </c>
      <c r="N355" s="162"/>
      <c r="V355" s="143"/>
      <c r="W355" s="142"/>
      <c r="X355" s="142"/>
      <c r="Y355" s="142"/>
      <c r="Z355" s="142"/>
      <c r="AA355" s="142"/>
    </row>
    <row r="356" spans="2:27" s="141" customFormat="1" x14ac:dyDescent="0.2">
      <c r="B356" s="157">
        <v>37558</v>
      </c>
      <c r="C356" s="158">
        <v>302</v>
      </c>
      <c r="D356" s="159">
        <f>'JSM Eingabe+TW'!DF60</f>
        <v>9.9999999999999995E-7</v>
      </c>
      <c r="E356" s="159">
        <f t="shared" si="37"/>
        <v>0</v>
      </c>
      <c r="F356" s="163">
        <f t="shared" si="40"/>
        <v>9.9999999999999995E-7</v>
      </c>
      <c r="G356" s="160">
        <f t="shared" si="38"/>
        <v>1.1999999999999999E-6</v>
      </c>
      <c r="H356" s="160">
        <f t="shared" si="39"/>
        <v>0</v>
      </c>
      <c r="I356" s="160">
        <f>'JSM Eingabe+TW'!$K$18*3.6*24</f>
        <v>0</v>
      </c>
      <c r="J356" s="159">
        <f t="shared" si="33"/>
        <v>9.9999999999999995E-7</v>
      </c>
      <c r="K356" s="143">
        <f t="shared" si="34"/>
        <v>9.9999999999999995E-7</v>
      </c>
      <c r="L356" s="161" t="str">
        <f t="shared" si="35"/>
        <v xml:space="preserve"> </v>
      </c>
      <c r="M356" s="162">
        <f t="shared" si="36"/>
        <v>9.9999999999999995E-7</v>
      </c>
      <c r="N356" s="162"/>
      <c r="V356" s="143"/>
      <c r="W356" s="142"/>
      <c r="X356" s="142"/>
      <c r="Y356" s="142"/>
      <c r="Z356" s="142"/>
      <c r="AA356" s="142"/>
    </row>
    <row r="357" spans="2:27" s="141" customFormat="1" x14ac:dyDescent="0.2">
      <c r="B357" s="157">
        <v>37559</v>
      </c>
      <c r="C357" s="158">
        <v>303</v>
      </c>
      <c r="D357" s="159">
        <f>'JSM Eingabe+TW'!DF61</f>
        <v>9.9999999999999995E-7</v>
      </c>
      <c r="E357" s="159">
        <f t="shared" si="37"/>
        <v>0</v>
      </c>
      <c r="F357" s="163">
        <f t="shared" si="40"/>
        <v>9.9999999999999995E-7</v>
      </c>
      <c r="G357" s="160">
        <f t="shared" si="38"/>
        <v>1.1999999999999999E-6</v>
      </c>
      <c r="H357" s="160">
        <f t="shared" si="39"/>
        <v>0</v>
      </c>
      <c r="I357" s="160">
        <f>'JSM Eingabe+TW'!$K$18*3.6*24</f>
        <v>0</v>
      </c>
      <c r="J357" s="159">
        <f t="shared" si="33"/>
        <v>9.9999999999999995E-7</v>
      </c>
      <c r="K357" s="143">
        <f t="shared" si="34"/>
        <v>9.9999999999999995E-7</v>
      </c>
      <c r="L357" s="161" t="str">
        <f t="shared" si="35"/>
        <v xml:space="preserve"> </v>
      </c>
      <c r="M357" s="162">
        <f t="shared" si="36"/>
        <v>9.9999999999999995E-7</v>
      </c>
      <c r="N357" s="162"/>
      <c r="V357" s="143"/>
      <c r="W357" s="142"/>
      <c r="X357" s="142"/>
      <c r="Y357" s="142"/>
      <c r="Z357" s="142"/>
      <c r="AA357" s="142"/>
    </row>
    <row r="358" spans="2:27" s="141" customFormat="1" x14ac:dyDescent="0.2">
      <c r="B358" s="157">
        <v>37560</v>
      </c>
      <c r="C358" s="158">
        <v>304</v>
      </c>
      <c r="D358" s="159">
        <f>'JSM Eingabe+TW'!DF62</f>
        <v>9.9999999999999995E-7</v>
      </c>
      <c r="E358" s="159">
        <f t="shared" si="37"/>
        <v>0</v>
      </c>
      <c r="F358" s="163">
        <f t="shared" si="40"/>
        <v>9.9999999999999995E-7</v>
      </c>
      <c r="G358" s="160">
        <f t="shared" si="38"/>
        <v>1.1999999999999999E-6</v>
      </c>
      <c r="H358" s="160">
        <f t="shared" si="39"/>
        <v>0</v>
      </c>
      <c r="I358" s="160">
        <f>'JSM Eingabe+TW'!$K$18*3.6*24</f>
        <v>0</v>
      </c>
      <c r="J358" s="159">
        <f t="shared" si="33"/>
        <v>9.9999999999999995E-7</v>
      </c>
      <c r="K358" s="143">
        <f t="shared" si="34"/>
        <v>9.9999999999999995E-7</v>
      </c>
      <c r="L358" s="161" t="str">
        <f t="shared" si="35"/>
        <v xml:space="preserve"> </v>
      </c>
      <c r="M358" s="162">
        <f t="shared" si="36"/>
        <v>9.9999999999999995E-7</v>
      </c>
      <c r="N358" s="162"/>
      <c r="V358" s="143"/>
      <c r="W358" s="142"/>
      <c r="X358" s="142"/>
      <c r="Y358" s="142"/>
      <c r="Z358" s="142"/>
      <c r="AA358" s="142"/>
    </row>
    <row r="359" spans="2:27" s="141" customFormat="1" x14ac:dyDescent="0.2">
      <c r="B359" s="157">
        <v>37561</v>
      </c>
      <c r="C359" s="158">
        <v>305</v>
      </c>
      <c r="D359" s="159">
        <f>'JSM Eingabe+TW'!DG32</f>
        <v>9.9999999999999995E-7</v>
      </c>
      <c r="E359" s="159">
        <f t="shared" si="37"/>
        <v>0</v>
      </c>
      <c r="F359" s="163">
        <f t="shared" si="40"/>
        <v>9.9999999999999995E-7</v>
      </c>
      <c r="G359" s="160">
        <f t="shared" si="38"/>
        <v>1.1999999999999999E-6</v>
      </c>
      <c r="H359" s="160">
        <f t="shared" si="39"/>
        <v>0</v>
      </c>
      <c r="I359" s="160">
        <f>'JSM Eingabe+TW'!$K$18*3.6*24</f>
        <v>0</v>
      </c>
      <c r="J359" s="159">
        <f t="shared" si="33"/>
        <v>9.9999999999999995E-7</v>
      </c>
      <c r="K359" s="143">
        <f t="shared" si="34"/>
        <v>9.9999999999999995E-7</v>
      </c>
      <c r="L359" s="161" t="str">
        <f t="shared" si="35"/>
        <v xml:space="preserve"> </v>
      </c>
      <c r="M359" s="162">
        <f t="shared" si="36"/>
        <v>9.9999999999999995E-7</v>
      </c>
      <c r="N359" s="162"/>
      <c r="V359" s="143"/>
      <c r="W359" s="142"/>
      <c r="X359" s="142"/>
      <c r="Y359" s="142"/>
      <c r="Z359" s="142"/>
      <c r="AA359" s="142"/>
    </row>
    <row r="360" spans="2:27" s="141" customFormat="1" x14ac:dyDescent="0.2">
      <c r="B360" s="157">
        <v>37562</v>
      </c>
      <c r="C360" s="158">
        <v>306</v>
      </c>
      <c r="D360" s="159">
        <f>'JSM Eingabe+TW'!DG33</f>
        <v>9.9999999999999995E-7</v>
      </c>
      <c r="E360" s="159">
        <f t="shared" si="37"/>
        <v>0</v>
      </c>
      <c r="F360" s="163">
        <f t="shared" si="40"/>
        <v>9.9999999999999995E-7</v>
      </c>
      <c r="G360" s="160">
        <f t="shared" si="38"/>
        <v>1.1999999999999999E-6</v>
      </c>
      <c r="H360" s="160">
        <f t="shared" si="39"/>
        <v>0</v>
      </c>
      <c r="I360" s="160">
        <f>'JSM Eingabe+TW'!$K$18*3.6*24</f>
        <v>0</v>
      </c>
      <c r="J360" s="159">
        <f t="shared" si="33"/>
        <v>9.9999999999999995E-7</v>
      </c>
      <c r="K360" s="143">
        <f t="shared" si="34"/>
        <v>9.9999999999999995E-7</v>
      </c>
      <c r="L360" s="161" t="str">
        <f t="shared" si="35"/>
        <v xml:space="preserve"> </v>
      </c>
      <c r="M360" s="162">
        <f t="shared" si="36"/>
        <v>9.9999999999999995E-7</v>
      </c>
      <c r="N360" s="162"/>
      <c r="V360" s="143"/>
      <c r="W360" s="142"/>
      <c r="X360" s="142"/>
      <c r="Y360" s="142"/>
      <c r="Z360" s="142"/>
      <c r="AA360" s="142"/>
    </row>
    <row r="361" spans="2:27" s="141" customFormat="1" x14ac:dyDescent="0.2">
      <c r="B361" s="157">
        <v>37563</v>
      </c>
      <c r="C361" s="158">
        <v>307</v>
      </c>
      <c r="D361" s="159">
        <f>'JSM Eingabe+TW'!DG34</f>
        <v>9.9999999999999995E-7</v>
      </c>
      <c r="E361" s="159">
        <f t="shared" si="37"/>
        <v>0</v>
      </c>
      <c r="F361" s="163">
        <f t="shared" si="40"/>
        <v>9.9999999999999995E-7</v>
      </c>
      <c r="G361" s="160">
        <f t="shared" si="38"/>
        <v>1.1999999999999999E-6</v>
      </c>
      <c r="H361" s="160">
        <f t="shared" si="39"/>
        <v>0</v>
      </c>
      <c r="I361" s="160">
        <f>'JSM Eingabe+TW'!$K$18*3.6*24</f>
        <v>0</v>
      </c>
      <c r="J361" s="159">
        <f t="shared" si="33"/>
        <v>9.9999999999999995E-7</v>
      </c>
      <c r="K361" s="143">
        <f t="shared" si="34"/>
        <v>9.9999999999999995E-7</v>
      </c>
      <c r="L361" s="161" t="str">
        <f t="shared" si="35"/>
        <v xml:space="preserve"> </v>
      </c>
      <c r="M361" s="162">
        <f t="shared" si="36"/>
        <v>9.9999999999999995E-7</v>
      </c>
      <c r="N361" s="162"/>
      <c r="V361" s="143"/>
      <c r="W361" s="142"/>
      <c r="X361" s="142"/>
      <c r="Y361" s="142"/>
      <c r="Z361" s="142"/>
      <c r="AA361" s="142"/>
    </row>
    <row r="362" spans="2:27" s="141" customFormat="1" x14ac:dyDescent="0.2">
      <c r="B362" s="157">
        <v>37564</v>
      </c>
      <c r="C362" s="158">
        <v>308</v>
      </c>
      <c r="D362" s="159">
        <f>'JSM Eingabe+TW'!DG35</f>
        <v>9.9999999999999995E-7</v>
      </c>
      <c r="E362" s="159">
        <f t="shared" si="37"/>
        <v>0</v>
      </c>
      <c r="F362" s="163">
        <f t="shared" si="40"/>
        <v>9.9999999999999995E-7</v>
      </c>
      <c r="G362" s="160">
        <f t="shared" si="38"/>
        <v>1.1999999999999999E-6</v>
      </c>
      <c r="H362" s="160">
        <f t="shared" si="39"/>
        <v>0</v>
      </c>
      <c r="I362" s="160">
        <f>'JSM Eingabe+TW'!$K$18*3.6*24</f>
        <v>0</v>
      </c>
      <c r="J362" s="159">
        <f t="shared" si="33"/>
        <v>9.9999999999999995E-7</v>
      </c>
      <c r="K362" s="143">
        <f t="shared" si="34"/>
        <v>9.9999999999999995E-7</v>
      </c>
      <c r="L362" s="161" t="str">
        <f t="shared" si="35"/>
        <v xml:space="preserve"> </v>
      </c>
      <c r="M362" s="162">
        <f t="shared" si="36"/>
        <v>9.9999999999999995E-7</v>
      </c>
      <c r="N362" s="162"/>
      <c r="V362" s="143"/>
      <c r="W362" s="142"/>
      <c r="X362" s="142"/>
      <c r="Y362" s="142"/>
      <c r="Z362" s="142"/>
      <c r="AA362" s="142"/>
    </row>
    <row r="363" spans="2:27" s="141" customFormat="1" x14ac:dyDescent="0.2">
      <c r="B363" s="157">
        <v>37565</v>
      </c>
      <c r="C363" s="158">
        <v>309</v>
      </c>
      <c r="D363" s="159">
        <f>'JSM Eingabe+TW'!DG36</f>
        <v>9.9999999999999995E-7</v>
      </c>
      <c r="E363" s="159">
        <f t="shared" si="37"/>
        <v>0</v>
      </c>
      <c r="F363" s="163">
        <f t="shared" si="40"/>
        <v>9.9999999999999995E-7</v>
      </c>
      <c r="G363" s="160">
        <f t="shared" si="38"/>
        <v>1.1999999999999999E-6</v>
      </c>
      <c r="H363" s="160">
        <f t="shared" si="39"/>
        <v>0</v>
      </c>
      <c r="I363" s="160">
        <f>'JSM Eingabe+TW'!$K$18*3.6*24</f>
        <v>0</v>
      </c>
      <c r="J363" s="159">
        <f t="shared" si="33"/>
        <v>9.9999999999999995E-7</v>
      </c>
      <c r="K363" s="143">
        <f t="shared" si="34"/>
        <v>9.9999999999999995E-7</v>
      </c>
      <c r="L363" s="161" t="str">
        <f t="shared" si="35"/>
        <v xml:space="preserve"> </v>
      </c>
      <c r="M363" s="162">
        <f t="shared" si="36"/>
        <v>9.9999999999999995E-7</v>
      </c>
      <c r="N363" s="162"/>
      <c r="V363" s="143"/>
      <c r="W363" s="142"/>
      <c r="X363" s="142"/>
      <c r="Y363" s="142"/>
      <c r="Z363" s="142"/>
      <c r="AA363" s="142"/>
    </row>
    <row r="364" spans="2:27" s="141" customFormat="1" x14ac:dyDescent="0.2">
      <c r="B364" s="157">
        <v>37566</v>
      </c>
      <c r="C364" s="158">
        <v>310</v>
      </c>
      <c r="D364" s="159">
        <f>'JSM Eingabe+TW'!DG37</f>
        <v>9.9999999999999995E-7</v>
      </c>
      <c r="E364" s="159">
        <f t="shared" si="37"/>
        <v>0</v>
      </c>
      <c r="F364" s="163">
        <f t="shared" si="40"/>
        <v>9.9999999999999995E-7</v>
      </c>
      <c r="G364" s="160">
        <f t="shared" si="38"/>
        <v>1.1999999999999999E-6</v>
      </c>
      <c r="H364" s="160">
        <f t="shared" si="39"/>
        <v>0</v>
      </c>
      <c r="I364" s="160">
        <f>'JSM Eingabe+TW'!$K$18*3.6*24</f>
        <v>0</v>
      </c>
      <c r="J364" s="159">
        <f t="shared" si="33"/>
        <v>9.9999999999999995E-7</v>
      </c>
      <c r="K364" s="143">
        <f t="shared" si="34"/>
        <v>9.9999999999999995E-7</v>
      </c>
      <c r="L364" s="161" t="str">
        <f t="shared" si="35"/>
        <v xml:space="preserve"> </v>
      </c>
      <c r="M364" s="162">
        <f t="shared" si="36"/>
        <v>9.9999999999999995E-7</v>
      </c>
      <c r="N364" s="162"/>
      <c r="V364" s="143"/>
      <c r="W364" s="142"/>
      <c r="X364" s="142"/>
      <c r="Y364" s="142"/>
      <c r="Z364" s="142"/>
      <c r="AA364" s="142"/>
    </row>
    <row r="365" spans="2:27" s="141" customFormat="1" x14ac:dyDescent="0.2">
      <c r="B365" s="157">
        <v>37567</v>
      </c>
      <c r="C365" s="158">
        <v>311</v>
      </c>
      <c r="D365" s="159">
        <f>'JSM Eingabe+TW'!DG38</f>
        <v>9.9999999999999995E-7</v>
      </c>
      <c r="E365" s="159">
        <f t="shared" si="37"/>
        <v>0</v>
      </c>
      <c r="F365" s="163">
        <f t="shared" si="40"/>
        <v>9.9999999999999995E-7</v>
      </c>
      <c r="G365" s="160">
        <f t="shared" si="38"/>
        <v>1.1999999999999999E-6</v>
      </c>
      <c r="H365" s="160">
        <f t="shared" si="39"/>
        <v>0</v>
      </c>
      <c r="I365" s="160">
        <f>'JSM Eingabe+TW'!$K$18*3.6*24</f>
        <v>0</v>
      </c>
      <c r="J365" s="159">
        <f t="shared" si="33"/>
        <v>9.9999999999999995E-7</v>
      </c>
      <c r="K365" s="143">
        <f t="shared" si="34"/>
        <v>9.9999999999999995E-7</v>
      </c>
      <c r="L365" s="161" t="str">
        <f t="shared" si="35"/>
        <v xml:space="preserve"> </v>
      </c>
      <c r="M365" s="162">
        <f t="shared" si="36"/>
        <v>9.9999999999999995E-7</v>
      </c>
      <c r="N365" s="162"/>
      <c r="V365" s="143"/>
      <c r="W365" s="142"/>
      <c r="X365" s="142"/>
      <c r="Y365" s="142"/>
      <c r="Z365" s="142"/>
      <c r="AA365" s="142"/>
    </row>
    <row r="366" spans="2:27" s="141" customFormat="1" x14ac:dyDescent="0.2">
      <c r="B366" s="157">
        <v>37568</v>
      </c>
      <c r="C366" s="158">
        <v>312</v>
      </c>
      <c r="D366" s="159">
        <f>'JSM Eingabe+TW'!DG39</f>
        <v>9.9999999999999995E-7</v>
      </c>
      <c r="E366" s="159">
        <f t="shared" si="37"/>
        <v>0</v>
      </c>
      <c r="F366" s="163">
        <f t="shared" si="40"/>
        <v>9.9999999999999995E-7</v>
      </c>
      <c r="G366" s="160">
        <f t="shared" si="38"/>
        <v>1.1999999999999999E-6</v>
      </c>
      <c r="H366" s="160">
        <f t="shared" si="39"/>
        <v>0</v>
      </c>
      <c r="I366" s="160">
        <f>'JSM Eingabe+TW'!$K$18*3.6*24</f>
        <v>0</v>
      </c>
      <c r="J366" s="159">
        <f t="shared" si="33"/>
        <v>9.9999999999999995E-7</v>
      </c>
      <c r="K366" s="143">
        <f t="shared" si="34"/>
        <v>9.9999999999999995E-7</v>
      </c>
      <c r="L366" s="161" t="str">
        <f t="shared" si="35"/>
        <v xml:space="preserve"> </v>
      </c>
      <c r="M366" s="162">
        <f t="shared" si="36"/>
        <v>9.9999999999999995E-7</v>
      </c>
      <c r="N366" s="162"/>
      <c r="V366" s="143"/>
      <c r="W366" s="142"/>
      <c r="X366" s="142"/>
      <c r="Y366" s="142"/>
      <c r="Z366" s="142"/>
      <c r="AA366" s="142"/>
    </row>
    <row r="367" spans="2:27" s="141" customFormat="1" x14ac:dyDescent="0.2">
      <c r="B367" s="157">
        <v>37569</v>
      </c>
      <c r="C367" s="158">
        <v>313</v>
      </c>
      <c r="D367" s="159">
        <f>'JSM Eingabe+TW'!DG40</f>
        <v>9.9999999999999995E-7</v>
      </c>
      <c r="E367" s="159">
        <f t="shared" si="37"/>
        <v>0</v>
      </c>
      <c r="F367" s="163">
        <f t="shared" si="40"/>
        <v>9.9999999999999995E-7</v>
      </c>
      <c r="G367" s="160">
        <f t="shared" si="38"/>
        <v>1.1999999999999999E-6</v>
      </c>
      <c r="H367" s="160">
        <f t="shared" si="39"/>
        <v>0</v>
      </c>
      <c r="I367" s="160">
        <f>'JSM Eingabe+TW'!$K$18*3.6*24</f>
        <v>0</v>
      </c>
      <c r="J367" s="159">
        <f t="shared" si="33"/>
        <v>9.9999999999999995E-7</v>
      </c>
      <c r="K367" s="143">
        <f t="shared" si="34"/>
        <v>9.9999999999999995E-7</v>
      </c>
      <c r="L367" s="161" t="str">
        <f t="shared" si="35"/>
        <v xml:space="preserve"> </v>
      </c>
      <c r="M367" s="162">
        <f t="shared" si="36"/>
        <v>9.9999999999999995E-7</v>
      </c>
      <c r="N367" s="162"/>
      <c r="V367" s="143"/>
      <c r="W367" s="142"/>
      <c r="X367" s="142"/>
      <c r="Y367" s="142"/>
      <c r="Z367" s="142"/>
      <c r="AA367" s="142"/>
    </row>
    <row r="368" spans="2:27" s="141" customFormat="1" x14ac:dyDescent="0.2">
      <c r="B368" s="157">
        <v>37570</v>
      </c>
      <c r="C368" s="158">
        <v>314</v>
      </c>
      <c r="D368" s="159">
        <f>'JSM Eingabe+TW'!DG41</f>
        <v>9.9999999999999995E-7</v>
      </c>
      <c r="E368" s="159">
        <f t="shared" si="37"/>
        <v>0</v>
      </c>
      <c r="F368" s="163">
        <f t="shared" si="40"/>
        <v>9.9999999999999995E-7</v>
      </c>
      <c r="G368" s="160">
        <f t="shared" si="38"/>
        <v>1.1999999999999999E-6</v>
      </c>
      <c r="H368" s="160">
        <f t="shared" si="39"/>
        <v>0</v>
      </c>
      <c r="I368" s="160">
        <f>'JSM Eingabe+TW'!$K$18*3.6*24</f>
        <v>0</v>
      </c>
      <c r="J368" s="159">
        <f t="shared" si="33"/>
        <v>9.9999999999999995E-7</v>
      </c>
      <c r="K368" s="143">
        <f t="shared" si="34"/>
        <v>9.9999999999999995E-7</v>
      </c>
      <c r="L368" s="161" t="str">
        <f t="shared" si="35"/>
        <v xml:space="preserve"> </v>
      </c>
      <c r="M368" s="162">
        <f t="shared" si="36"/>
        <v>9.9999999999999995E-7</v>
      </c>
      <c r="N368" s="162"/>
      <c r="V368" s="143"/>
      <c r="W368" s="142"/>
      <c r="X368" s="142"/>
      <c r="Y368" s="142"/>
      <c r="Z368" s="142"/>
      <c r="AA368" s="142"/>
    </row>
    <row r="369" spans="2:27" s="141" customFormat="1" x14ac:dyDescent="0.2">
      <c r="B369" s="157">
        <v>37571</v>
      </c>
      <c r="C369" s="158">
        <v>315</v>
      </c>
      <c r="D369" s="159">
        <f>'JSM Eingabe+TW'!DG42</f>
        <v>9.9999999999999995E-7</v>
      </c>
      <c r="E369" s="159">
        <f t="shared" si="37"/>
        <v>0</v>
      </c>
      <c r="F369" s="163">
        <f t="shared" si="40"/>
        <v>9.9999999999999995E-7</v>
      </c>
      <c r="G369" s="160">
        <f t="shared" si="38"/>
        <v>1.1999999999999999E-6</v>
      </c>
      <c r="H369" s="160">
        <f t="shared" si="39"/>
        <v>0</v>
      </c>
      <c r="I369" s="160">
        <f>'JSM Eingabe+TW'!$K$18*3.6*24</f>
        <v>0</v>
      </c>
      <c r="J369" s="159">
        <f t="shared" si="33"/>
        <v>9.9999999999999995E-7</v>
      </c>
      <c r="K369" s="143">
        <f t="shared" si="34"/>
        <v>9.9999999999999995E-7</v>
      </c>
      <c r="L369" s="161" t="str">
        <f t="shared" si="35"/>
        <v xml:space="preserve"> </v>
      </c>
      <c r="M369" s="162">
        <f t="shared" si="36"/>
        <v>9.9999999999999995E-7</v>
      </c>
      <c r="N369" s="162"/>
      <c r="V369" s="143"/>
      <c r="W369" s="142"/>
      <c r="X369" s="142"/>
      <c r="Y369" s="142"/>
      <c r="Z369" s="142"/>
      <c r="AA369" s="142"/>
    </row>
    <row r="370" spans="2:27" s="141" customFormat="1" x14ac:dyDescent="0.2">
      <c r="B370" s="157">
        <v>37572</v>
      </c>
      <c r="C370" s="158">
        <v>316</v>
      </c>
      <c r="D370" s="159">
        <f>'JSM Eingabe+TW'!DG43</f>
        <v>9.9999999999999995E-7</v>
      </c>
      <c r="E370" s="159">
        <f t="shared" si="37"/>
        <v>0</v>
      </c>
      <c r="F370" s="163">
        <f t="shared" si="40"/>
        <v>9.9999999999999995E-7</v>
      </c>
      <c r="G370" s="160">
        <f t="shared" si="38"/>
        <v>1.1999999999999999E-6</v>
      </c>
      <c r="H370" s="160">
        <f t="shared" si="39"/>
        <v>0</v>
      </c>
      <c r="I370" s="160">
        <f>'JSM Eingabe+TW'!$K$18*3.6*24</f>
        <v>0</v>
      </c>
      <c r="J370" s="159">
        <f t="shared" si="33"/>
        <v>9.9999999999999995E-7</v>
      </c>
      <c r="K370" s="143">
        <f t="shared" si="34"/>
        <v>9.9999999999999995E-7</v>
      </c>
      <c r="L370" s="161" t="str">
        <f t="shared" si="35"/>
        <v xml:space="preserve"> </v>
      </c>
      <c r="M370" s="162">
        <f t="shared" si="36"/>
        <v>9.9999999999999995E-7</v>
      </c>
      <c r="N370" s="162"/>
      <c r="V370" s="143"/>
      <c r="W370" s="142"/>
      <c r="X370" s="142"/>
      <c r="Y370" s="142"/>
      <c r="Z370" s="142"/>
      <c r="AA370" s="142"/>
    </row>
    <row r="371" spans="2:27" s="141" customFormat="1" x14ac:dyDescent="0.2">
      <c r="B371" s="157">
        <v>37573</v>
      </c>
      <c r="C371" s="158">
        <v>317</v>
      </c>
      <c r="D371" s="159">
        <f>'JSM Eingabe+TW'!DG44</f>
        <v>9.9999999999999995E-7</v>
      </c>
      <c r="E371" s="159">
        <f t="shared" si="37"/>
        <v>0</v>
      </c>
      <c r="F371" s="163">
        <f t="shared" si="40"/>
        <v>9.9999999999999995E-7</v>
      </c>
      <c r="G371" s="160">
        <f t="shared" si="38"/>
        <v>1.1999999999999999E-6</v>
      </c>
      <c r="H371" s="160">
        <f t="shared" si="39"/>
        <v>0</v>
      </c>
      <c r="I371" s="160">
        <f>'JSM Eingabe+TW'!$K$18*3.6*24</f>
        <v>0</v>
      </c>
      <c r="J371" s="159">
        <f t="shared" si="33"/>
        <v>9.9999999999999995E-7</v>
      </c>
      <c r="K371" s="143">
        <f t="shared" si="34"/>
        <v>9.9999999999999995E-7</v>
      </c>
      <c r="L371" s="161" t="str">
        <f t="shared" si="35"/>
        <v xml:space="preserve"> </v>
      </c>
      <c r="M371" s="162">
        <f t="shared" si="36"/>
        <v>9.9999999999999995E-7</v>
      </c>
      <c r="N371" s="162"/>
      <c r="V371" s="143"/>
      <c r="W371" s="142"/>
      <c r="X371" s="142"/>
      <c r="Y371" s="142"/>
      <c r="Z371" s="142"/>
      <c r="AA371" s="142"/>
    </row>
    <row r="372" spans="2:27" s="141" customFormat="1" x14ac:dyDescent="0.2">
      <c r="B372" s="157">
        <v>37574</v>
      </c>
      <c r="C372" s="158">
        <v>318</v>
      </c>
      <c r="D372" s="159">
        <f>'JSM Eingabe+TW'!DG45</f>
        <v>9.9999999999999995E-7</v>
      </c>
      <c r="E372" s="159">
        <f t="shared" si="37"/>
        <v>0</v>
      </c>
      <c r="F372" s="163">
        <f t="shared" si="40"/>
        <v>9.9999999999999995E-7</v>
      </c>
      <c r="G372" s="160">
        <f t="shared" si="38"/>
        <v>1.1999999999999999E-6</v>
      </c>
      <c r="H372" s="160">
        <f t="shared" si="39"/>
        <v>0</v>
      </c>
      <c r="I372" s="160">
        <f>'JSM Eingabe+TW'!$K$18*3.6*24</f>
        <v>0</v>
      </c>
      <c r="J372" s="159">
        <f t="shared" si="33"/>
        <v>9.9999999999999995E-7</v>
      </c>
      <c r="K372" s="143">
        <f t="shared" si="34"/>
        <v>9.9999999999999995E-7</v>
      </c>
      <c r="L372" s="161" t="str">
        <f t="shared" si="35"/>
        <v xml:space="preserve"> </v>
      </c>
      <c r="M372" s="162">
        <f t="shared" si="36"/>
        <v>9.9999999999999995E-7</v>
      </c>
      <c r="N372" s="162"/>
      <c r="V372" s="143"/>
      <c r="W372" s="142"/>
      <c r="X372" s="142"/>
      <c r="Y372" s="142"/>
      <c r="Z372" s="142"/>
      <c r="AA372" s="142"/>
    </row>
    <row r="373" spans="2:27" s="141" customFormat="1" x14ac:dyDescent="0.2">
      <c r="B373" s="157">
        <v>37575</v>
      </c>
      <c r="C373" s="158">
        <v>319</v>
      </c>
      <c r="D373" s="159">
        <f>'JSM Eingabe+TW'!DG46</f>
        <v>9.9999999999999995E-7</v>
      </c>
      <c r="E373" s="159">
        <f t="shared" si="37"/>
        <v>0</v>
      </c>
      <c r="F373" s="163">
        <f t="shared" si="40"/>
        <v>9.9999999999999995E-7</v>
      </c>
      <c r="G373" s="160">
        <f t="shared" si="38"/>
        <v>1.1999999999999999E-6</v>
      </c>
      <c r="H373" s="160">
        <f t="shared" si="39"/>
        <v>0</v>
      </c>
      <c r="I373" s="160">
        <f>'JSM Eingabe+TW'!$K$18*3.6*24</f>
        <v>0</v>
      </c>
      <c r="J373" s="159">
        <f t="shared" si="33"/>
        <v>9.9999999999999995E-7</v>
      </c>
      <c r="K373" s="143">
        <f t="shared" si="34"/>
        <v>9.9999999999999995E-7</v>
      </c>
      <c r="L373" s="161" t="str">
        <f t="shared" si="35"/>
        <v xml:space="preserve"> </v>
      </c>
      <c r="M373" s="162">
        <f t="shared" si="36"/>
        <v>9.9999999999999995E-7</v>
      </c>
      <c r="N373" s="162"/>
      <c r="V373" s="143"/>
      <c r="W373" s="142"/>
      <c r="X373" s="142"/>
      <c r="Y373" s="142"/>
      <c r="Z373" s="142"/>
      <c r="AA373" s="142"/>
    </row>
    <row r="374" spans="2:27" s="141" customFormat="1" x14ac:dyDescent="0.2">
      <c r="B374" s="157">
        <v>37576</v>
      </c>
      <c r="C374" s="158">
        <v>320</v>
      </c>
      <c r="D374" s="159">
        <f>'JSM Eingabe+TW'!DG47</f>
        <v>9.9999999999999995E-7</v>
      </c>
      <c r="E374" s="159">
        <f t="shared" si="37"/>
        <v>0</v>
      </c>
      <c r="F374" s="163">
        <f t="shared" si="40"/>
        <v>9.9999999999999995E-7</v>
      </c>
      <c r="G374" s="160">
        <f t="shared" si="38"/>
        <v>1.1999999999999999E-6</v>
      </c>
      <c r="H374" s="160">
        <f t="shared" si="39"/>
        <v>0</v>
      </c>
      <c r="I374" s="160">
        <f>'JSM Eingabe+TW'!$K$18*3.6*24</f>
        <v>0</v>
      </c>
      <c r="J374" s="159">
        <f t="shared" si="33"/>
        <v>9.9999999999999995E-7</v>
      </c>
      <c r="K374" s="143">
        <f t="shared" si="34"/>
        <v>9.9999999999999995E-7</v>
      </c>
      <c r="L374" s="161" t="str">
        <f t="shared" si="35"/>
        <v xml:space="preserve"> </v>
      </c>
      <c r="M374" s="162">
        <f t="shared" si="36"/>
        <v>9.9999999999999995E-7</v>
      </c>
      <c r="N374" s="162"/>
      <c r="V374" s="143"/>
      <c r="W374" s="142"/>
      <c r="X374" s="142"/>
      <c r="Y374" s="142"/>
      <c r="Z374" s="142"/>
      <c r="AA374" s="142"/>
    </row>
    <row r="375" spans="2:27" s="141" customFormat="1" x14ac:dyDescent="0.2">
      <c r="B375" s="157">
        <v>37577</v>
      </c>
      <c r="C375" s="158">
        <v>321</v>
      </c>
      <c r="D375" s="159">
        <f>'JSM Eingabe+TW'!DG48</f>
        <v>9.9999999999999995E-7</v>
      </c>
      <c r="E375" s="159">
        <f t="shared" si="37"/>
        <v>0</v>
      </c>
      <c r="F375" s="163">
        <f t="shared" si="40"/>
        <v>9.9999999999999995E-7</v>
      </c>
      <c r="G375" s="160">
        <f t="shared" si="38"/>
        <v>1.1999999999999999E-6</v>
      </c>
      <c r="H375" s="160">
        <f t="shared" si="39"/>
        <v>0</v>
      </c>
      <c r="I375" s="160">
        <f>'JSM Eingabe+TW'!$K$18*3.6*24</f>
        <v>0</v>
      </c>
      <c r="J375" s="159">
        <f t="shared" ref="J375:J419" si="41">IF(D375&lt;=G375,D375,0)</f>
        <v>9.9999999999999995E-7</v>
      </c>
      <c r="K375" s="143">
        <f t="shared" ref="K375:K419" si="42">IF(F375&lt;E375,0,F375-E375)</f>
        <v>9.9999999999999995E-7</v>
      </c>
      <c r="L375" s="161" t="str">
        <f t="shared" ref="L375:L420" si="43">IF(M375&lt;0,1, " ")</f>
        <v xml:space="preserve"> </v>
      </c>
      <c r="M375" s="162">
        <f t="shared" ref="M375:M419" si="44">F375-E375</f>
        <v>9.9999999999999995E-7</v>
      </c>
      <c r="N375" s="162"/>
      <c r="V375" s="143"/>
      <c r="W375" s="142"/>
      <c r="X375" s="142"/>
      <c r="Y375" s="142"/>
      <c r="Z375" s="142"/>
      <c r="AA375" s="142"/>
    </row>
    <row r="376" spans="2:27" s="141" customFormat="1" x14ac:dyDescent="0.2">
      <c r="B376" s="157">
        <v>37578</v>
      </c>
      <c r="C376" s="158">
        <v>322</v>
      </c>
      <c r="D376" s="159">
        <f>'JSM Eingabe+TW'!DG49</f>
        <v>9.9999999999999995E-7</v>
      </c>
      <c r="E376" s="159">
        <f t="shared" ref="E376:E419" si="45">$E$55</f>
        <v>0</v>
      </c>
      <c r="F376" s="163">
        <f t="shared" si="40"/>
        <v>9.9999999999999995E-7</v>
      </c>
      <c r="G376" s="160">
        <f t="shared" ref="G376:G419" si="46">F376*1.2</f>
        <v>1.1999999999999999E-6</v>
      </c>
      <c r="H376" s="160">
        <f t="shared" si="39"/>
        <v>0</v>
      </c>
      <c r="I376" s="160">
        <f>'JSM Eingabe+TW'!$K$18*3.6*24</f>
        <v>0</v>
      </c>
      <c r="J376" s="159">
        <f t="shared" si="41"/>
        <v>9.9999999999999995E-7</v>
      </c>
      <c r="K376" s="143">
        <f t="shared" si="42"/>
        <v>9.9999999999999995E-7</v>
      </c>
      <c r="L376" s="161" t="str">
        <f t="shared" si="43"/>
        <v xml:space="preserve"> </v>
      </c>
      <c r="M376" s="162">
        <f t="shared" si="44"/>
        <v>9.9999999999999995E-7</v>
      </c>
      <c r="N376" s="162"/>
      <c r="V376" s="143"/>
      <c r="W376" s="142"/>
      <c r="X376" s="142"/>
      <c r="Y376" s="142"/>
      <c r="Z376" s="142"/>
      <c r="AA376" s="142"/>
    </row>
    <row r="377" spans="2:27" s="141" customFormat="1" x14ac:dyDescent="0.2">
      <c r="B377" s="157">
        <v>37579</v>
      </c>
      <c r="C377" s="158">
        <v>323</v>
      </c>
      <c r="D377" s="159">
        <f>'JSM Eingabe+TW'!DG50</f>
        <v>9.9999999999999995E-7</v>
      </c>
      <c r="E377" s="159">
        <f t="shared" si="45"/>
        <v>0</v>
      </c>
      <c r="F377" s="163">
        <f t="shared" si="40"/>
        <v>9.9999999999999995E-7</v>
      </c>
      <c r="G377" s="160">
        <f t="shared" si="46"/>
        <v>1.1999999999999999E-6</v>
      </c>
      <c r="H377" s="160">
        <f t="shared" ref="H377:H419" si="47">H376</f>
        <v>0</v>
      </c>
      <c r="I377" s="160">
        <f>'JSM Eingabe+TW'!$K$18*3.6*24</f>
        <v>0</v>
      </c>
      <c r="J377" s="159">
        <f t="shared" si="41"/>
        <v>9.9999999999999995E-7</v>
      </c>
      <c r="K377" s="143">
        <f t="shared" si="42"/>
        <v>9.9999999999999995E-7</v>
      </c>
      <c r="L377" s="161" t="str">
        <f t="shared" si="43"/>
        <v xml:space="preserve"> </v>
      </c>
      <c r="M377" s="162">
        <f t="shared" si="44"/>
        <v>9.9999999999999995E-7</v>
      </c>
      <c r="N377" s="162"/>
      <c r="V377" s="143"/>
      <c r="W377" s="142"/>
      <c r="X377" s="142"/>
      <c r="Y377" s="142"/>
      <c r="Z377" s="142"/>
      <c r="AA377" s="142"/>
    </row>
    <row r="378" spans="2:27" s="141" customFormat="1" x14ac:dyDescent="0.2">
      <c r="B378" s="157">
        <v>37580</v>
      </c>
      <c r="C378" s="158">
        <v>324</v>
      </c>
      <c r="D378" s="159">
        <f>'JSM Eingabe+TW'!DG51</f>
        <v>9.9999999999999995E-7</v>
      </c>
      <c r="E378" s="159">
        <f t="shared" si="45"/>
        <v>0</v>
      </c>
      <c r="F378" s="163">
        <f t="shared" si="40"/>
        <v>9.9999999999999995E-7</v>
      </c>
      <c r="G378" s="160">
        <f t="shared" si="46"/>
        <v>1.1999999999999999E-6</v>
      </c>
      <c r="H378" s="160">
        <f t="shared" si="47"/>
        <v>0</v>
      </c>
      <c r="I378" s="160">
        <f>'JSM Eingabe+TW'!$K$18*3.6*24</f>
        <v>0</v>
      </c>
      <c r="J378" s="159">
        <f t="shared" si="41"/>
        <v>9.9999999999999995E-7</v>
      </c>
      <c r="K378" s="143">
        <f t="shared" si="42"/>
        <v>9.9999999999999995E-7</v>
      </c>
      <c r="L378" s="161" t="str">
        <f t="shared" si="43"/>
        <v xml:space="preserve"> </v>
      </c>
      <c r="M378" s="162">
        <f t="shared" si="44"/>
        <v>9.9999999999999995E-7</v>
      </c>
      <c r="N378" s="162"/>
      <c r="V378" s="143"/>
      <c r="W378" s="142"/>
      <c r="X378" s="142"/>
      <c r="Y378" s="142"/>
      <c r="Z378" s="142"/>
      <c r="AA378" s="142"/>
    </row>
    <row r="379" spans="2:27" s="141" customFormat="1" x14ac:dyDescent="0.2">
      <c r="B379" s="157">
        <v>37581</v>
      </c>
      <c r="C379" s="158">
        <v>325</v>
      </c>
      <c r="D379" s="159">
        <f>'JSM Eingabe+TW'!DG52</f>
        <v>9.9999999999999995E-7</v>
      </c>
      <c r="E379" s="159">
        <f t="shared" si="45"/>
        <v>0</v>
      </c>
      <c r="F379" s="163">
        <f t="shared" si="40"/>
        <v>9.9999999999999995E-7</v>
      </c>
      <c r="G379" s="160">
        <f t="shared" si="46"/>
        <v>1.1999999999999999E-6</v>
      </c>
      <c r="H379" s="160">
        <f t="shared" si="47"/>
        <v>0</v>
      </c>
      <c r="I379" s="160">
        <f>'JSM Eingabe+TW'!$K$18*3.6*24</f>
        <v>0</v>
      </c>
      <c r="J379" s="159">
        <f t="shared" si="41"/>
        <v>9.9999999999999995E-7</v>
      </c>
      <c r="K379" s="143">
        <f t="shared" si="42"/>
        <v>9.9999999999999995E-7</v>
      </c>
      <c r="L379" s="161" t="str">
        <f t="shared" si="43"/>
        <v xml:space="preserve"> </v>
      </c>
      <c r="M379" s="162">
        <f t="shared" si="44"/>
        <v>9.9999999999999995E-7</v>
      </c>
      <c r="N379" s="162"/>
      <c r="V379" s="143"/>
      <c r="W379" s="142"/>
      <c r="X379" s="142"/>
      <c r="Y379" s="142"/>
      <c r="Z379" s="142"/>
      <c r="AA379" s="142"/>
    </row>
    <row r="380" spans="2:27" s="141" customFormat="1" x14ac:dyDescent="0.2">
      <c r="B380" s="157">
        <v>37582</v>
      </c>
      <c r="C380" s="158">
        <v>326</v>
      </c>
      <c r="D380" s="159">
        <f>'JSM Eingabe+TW'!DG53</f>
        <v>9.9999999999999995E-7</v>
      </c>
      <c r="E380" s="159">
        <f t="shared" si="45"/>
        <v>0</v>
      </c>
      <c r="F380" s="163">
        <f t="shared" si="40"/>
        <v>9.9999999999999995E-7</v>
      </c>
      <c r="G380" s="160">
        <f t="shared" si="46"/>
        <v>1.1999999999999999E-6</v>
      </c>
      <c r="H380" s="160">
        <f t="shared" si="47"/>
        <v>0</v>
      </c>
      <c r="I380" s="160">
        <f>'JSM Eingabe+TW'!$K$18*3.6*24</f>
        <v>0</v>
      </c>
      <c r="J380" s="159">
        <f t="shared" si="41"/>
        <v>9.9999999999999995E-7</v>
      </c>
      <c r="K380" s="143">
        <f t="shared" si="42"/>
        <v>9.9999999999999995E-7</v>
      </c>
      <c r="L380" s="161" t="str">
        <f t="shared" si="43"/>
        <v xml:space="preserve"> </v>
      </c>
      <c r="M380" s="162">
        <f t="shared" si="44"/>
        <v>9.9999999999999995E-7</v>
      </c>
      <c r="N380" s="162"/>
      <c r="V380" s="143"/>
      <c r="W380" s="142"/>
      <c r="X380" s="142"/>
      <c r="Y380" s="142"/>
      <c r="Z380" s="142"/>
      <c r="AA380" s="142"/>
    </row>
    <row r="381" spans="2:27" s="141" customFormat="1" x14ac:dyDescent="0.2">
      <c r="B381" s="157">
        <v>37583</v>
      </c>
      <c r="C381" s="158">
        <v>327</v>
      </c>
      <c r="D381" s="159">
        <f>'JSM Eingabe+TW'!DG54</f>
        <v>9.9999999999999995E-7</v>
      </c>
      <c r="E381" s="159">
        <f t="shared" si="45"/>
        <v>0</v>
      </c>
      <c r="F381" s="163">
        <f t="shared" si="40"/>
        <v>9.9999999999999995E-7</v>
      </c>
      <c r="G381" s="160">
        <f t="shared" si="46"/>
        <v>1.1999999999999999E-6</v>
      </c>
      <c r="H381" s="160">
        <f t="shared" si="47"/>
        <v>0</v>
      </c>
      <c r="I381" s="160">
        <f>'JSM Eingabe+TW'!$K$18*3.6*24</f>
        <v>0</v>
      </c>
      <c r="J381" s="159">
        <f t="shared" si="41"/>
        <v>9.9999999999999995E-7</v>
      </c>
      <c r="K381" s="143">
        <f t="shared" si="42"/>
        <v>9.9999999999999995E-7</v>
      </c>
      <c r="L381" s="161" t="str">
        <f t="shared" si="43"/>
        <v xml:space="preserve"> </v>
      </c>
      <c r="M381" s="162">
        <f t="shared" si="44"/>
        <v>9.9999999999999995E-7</v>
      </c>
      <c r="N381" s="162"/>
      <c r="V381" s="143"/>
      <c r="W381" s="142"/>
      <c r="X381" s="142"/>
      <c r="Y381" s="142"/>
      <c r="Z381" s="142"/>
      <c r="AA381" s="142"/>
    </row>
    <row r="382" spans="2:27" s="141" customFormat="1" x14ac:dyDescent="0.2">
      <c r="B382" s="157">
        <v>37584</v>
      </c>
      <c r="C382" s="158">
        <v>328</v>
      </c>
      <c r="D382" s="159">
        <f>'JSM Eingabe+TW'!DG55</f>
        <v>9.9999999999999995E-7</v>
      </c>
      <c r="E382" s="159">
        <f t="shared" si="45"/>
        <v>0</v>
      </c>
      <c r="F382" s="163">
        <f t="shared" si="40"/>
        <v>9.9999999999999995E-7</v>
      </c>
      <c r="G382" s="160">
        <f t="shared" si="46"/>
        <v>1.1999999999999999E-6</v>
      </c>
      <c r="H382" s="160">
        <f t="shared" si="47"/>
        <v>0</v>
      </c>
      <c r="I382" s="160">
        <f>'JSM Eingabe+TW'!$K$18*3.6*24</f>
        <v>0</v>
      </c>
      <c r="J382" s="159">
        <f t="shared" si="41"/>
        <v>9.9999999999999995E-7</v>
      </c>
      <c r="K382" s="143">
        <f t="shared" si="42"/>
        <v>9.9999999999999995E-7</v>
      </c>
      <c r="L382" s="161" t="str">
        <f t="shared" si="43"/>
        <v xml:space="preserve"> </v>
      </c>
      <c r="M382" s="162">
        <f t="shared" si="44"/>
        <v>9.9999999999999995E-7</v>
      </c>
      <c r="N382" s="162"/>
      <c r="V382" s="143"/>
      <c r="W382" s="142"/>
      <c r="X382" s="142"/>
      <c r="Y382" s="142"/>
      <c r="Z382" s="142"/>
      <c r="AA382" s="142"/>
    </row>
    <row r="383" spans="2:27" s="141" customFormat="1" x14ac:dyDescent="0.2">
      <c r="B383" s="157">
        <v>37585</v>
      </c>
      <c r="C383" s="158">
        <v>329</v>
      </c>
      <c r="D383" s="159">
        <f>'JSM Eingabe+TW'!DG56</f>
        <v>9.9999999999999995E-7</v>
      </c>
      <c r="E383" s="159">
        <f t="shared" si="45"/>
        <v>0</v>
      </c>
      <c r="F383" s="163">
        <f t="shared" si="40"/>
        <v>9.9999999999999995E-7</v>
      </c>
      <c r="G383" s="160">
        <f t="shared" si="46"/>
        <v>1.1999999999999999E-6</v>
      </c>
      <c r="H383" s="160">
        <f t="shared" si="47"/>
        <v>0</v>
      </c>
      <c r="I383" s="160">
        <f>'JSM Eingabe+TW'!$K$18*3.6*24</f>
        <v>0</v>
      </c>
      <c r="J383" s="159">
        <f t="shared" si="41"/>
        <v>9.9999999999999995E-7</v>
      </c>
      <c r="K383" s="143">
        <f t="shared" si="42"/>
        <v>9.9999999999999995E-7</v>
      </c>
      <c r="L383" s="161" t="str">
        <f t="shared" si="43"/>
        <v xml:space="preserve"> </v>
      </c>
      <c r="M383" s="162">
        <f t="shared" si="44"/>
        <v>9.9999999999999995E-7</v>
      </c>
      <c r="N383" s="162"/>
      <c r="V383" s="143"/>
      <c r="W383" s="142"/>
      <c r="X383" s="142"/>
      <c r="Y383" s="142"/>
      <c r="Z383" s="142"/>
      <c r="AA383" s="142"/>
    </row>
    <row r="384" spans="2:27" s="141" customFormat="1" x14ac:dyDescent="0.2">
      <c r="B384" s="157">
        <v>37586</v>
      </c>
      <c r="C384" s="158">
        <v>330</v>
      </c>
      <c r="D384" s="159">
        <f>'JSM Eingabe+TW'!DG57</f>
        <v>9.9999999999999995E-7</v>
      </c>
      <c r="E384" s="159">
        <f t="shared" si="45"/>
        <v>0</v>
      </c>
      <c r="F384" s="163">
        <f t="shared" si="40"/>
        <v>9.9999999999999995E-7</v>
      </c>
      <c r="G384" s="160">
        <f t="shared" si="46"/>
        <v>1.1999999999999999E-6</v>
      </c>
      <c r="H384" s="160">
        <f t="shared" si="47"/>
        <v>0</v>
      </c>
      <c r="I384" s="160">
        <f>'JSM Eingabe+TW'!$K$18*3.6*24</f>
        <v>0</v>
      </c>
      <c r="J384" s="159">
        <f t="shared" si="41"/>
        <v>9.9999999999999995E-7</v>
      </c>
      <c r="K384" s="143">
        <f t="shared" si="42"/>
        <v>9.9999999999999995E-7</v>
      </c>
      <c r="L384" s="161" t="str">
        <f t="shared" si="43"/>
        <v xml:space="preserve"> </v>
      </c>
      <c r="M384" s="162">
        <f t="shared" si="44"/>
        <v>9.9999999999999995E-7</v>
      </c>
      <c r="N384" s="162"/>
      <c r="V384" s="143"/>
      <c r="W384" s="142"/>
      <c r="X384" s="142"/>
      <c r="Y384" s="142"/>
      <c r="Z384" s="142"/>
      <c r="AA384" s="142"/>
    </row>
    <row r="385" spans="2:27" s="141" customFormat="1" x14ac:dyDescent="0.2">
      <c r="B385" s="157">
        <v>37587</v>
      </c>
      <c r="C385" s="158">
        <v>331</v>
      </c>
      <c r="D385" s="159">
        <f>'JSM Eingabe+TW'!DG58</f>
        <v>9.9999999999999995E-7</v>
      </c>
      <c r="E385" s="159">
        <f t="shared" si="45"/>
        <v>0</v>
      </c>
      <c r="F385" s="163">
        <f t="shared" si="40"/>
        <v>9.9999999999999995E-7</v>
      </c>
      <c r="G385" s="160">
        <f t="shared" si="46"/>
        <v>1.1999999999999999E-6</v>
      </c>
      <c r="H385" s="160">
        <f t="shared" si="47"/>
        <v>0</v>
      </c>
      <c r="I385" s="160">
        <f>'JSM Eingabe+TW'!$K$18*3.6*24</f>
        <v>0</v>
      </c>
      <c r="J385" s="159">
        <f t="shared" si="41"/>
        <v>9.9999999999999995E-7</v>
      </c>
      <c r="K385" s="143">
        <f t="shared" si="42"/>
        <v>9.9999999999999995E-7</v>
      </c>
      <c r="L385" s="161" t="str">
        <f t="shared" si="43"/>
        <v xml:space="preserve"> </v>
      </c>
      <c r="M385" s="162">
        <f t="shared" si="44"/>
        <v>9.9999999999999995E-7</v>
      </c>
      <c r="N385" s="162"/>
      <c r="V385" s="143"/>
      <c r="W385" s="142"/>
      <c r="X385" s="142"/>
      <c r="Y385" s="142"/>
      <c r="Z385" s="142"/>
      <c r="AA385" s="142"/>
    </row>
    <row r="386" spans="2:27" s="141" customFormat="1" x14ac:dyDescent="0.2">
      <c r="B386" s="157">
        <v>37588</v>
      </c>
      <c r="C386" s="158">
        <v>332</v>
      </c>
      <c r="D386" s="159">
        <f>'JSM Eingabe+TW'!DG59</f>
        <v>9.9999999999999995E-7</v>
      </c>
      <c r="E386" s="159">
        <f t="shared" si="45"/>
        <v>0</v>
      </c>
      <c r="F386" s="163">
        <f t="shared" ref="F386:F419" si="48">SMALL(D376:D396,1)</f>
        <v>9.9999999999999995E-7</v>
      </c>
      <c r="G386" s="160">
        <f t="shared" si="46"/>
        <v>1.1999999999999999E-6</v>
      </c>
      <c r="H386" s="160">
        <f t="shared" si="47"/>
        <v>0</v>
      </c>
      <c r="I386" s="160">
        <f>'JSM Eingabe+TW'!$K$18*3.6*24</f>
        <v>0</v>
      </c>
      <c r="J386" s="159">
        <f t="shared" si="41"/>
        <v>9.9999999999999995E-7</v>
      </c>
      <c r="K386" s="143">
        <f t="shared" si="42"/>
        <v>9.9999999999999995E-7</v>
      </c>
      <c r="L386" s="161" t="str">
        <f t="shared" si="43"/>
        <v xml:space="preserve"> </v>
      </c>
      <c r="M386" s="162">
        <f t="shared" si="44"/>
        <v>9.9999999999999995E-7</v>
      </c>
      <c r="N386" s="162"/>
      <c r="V386" s="143"/>
      <c r="W386" s="142"/>
      <c r="X386" s="142"/>
      <c r="Y386" s="142"/>
      <c r="Z386" s="142"/>
      <c r="AA386" s="142"/>
    </row>
    <row r="387" spans="2:27" s="141" customFormat="1" x14ac:dyDescent="0.2">
      <c r="B387" s="157">
        <v>37589</v>
      </c>
      <c r="C387" s="158">
        <v>333</v>
      </c>
      <c r="D387" s="159">
        <f>'JSM Eingabe+TW'!DG60</f>
        <v>9.9999999999999995E-7</v>
      </c>
      <c r="E387" s="159">
        <f t="shared" si="45"/>
        <v>0</v>
      </c>
      <c r="F387" s="163">
        <f t="shared" si="48"/>
        <v>9.9999999999999995E-7</v>
      </c>
      <c r="G387" s="160">
        <f t="shared" si="46"/>
        <v>1.1999999999999999E-6</v>
      </c>
      <c r="H387" s="160">
        <f t="shared" si="47"/>
        <v>0</v>
      </c>
      <c r="I387" s="160">
        <f>'JSM Eingabe+TW'!$K$18*3.6*24</f>
        <v>0</v>
      </c>
      <c r="J387" s="159">
        <f t="shared" si="41"/>
        <v>9.9999999999999995E-7</v>
      </c>
      <c r="K387" s="143">
        <f t="shared" si="42"/>
        <v>9.9999999999999995E-7</v>
      </c>
      <c r="L387" s="161" t="str">
        <f t="shared" si="43"/>
        <v xml:space="preserve"> </v>
      </c>
      <c r="M387" s="162">
        <f t="shared" si="44"/>
        <v>9.9999999999999995E-7</v>
      </c>
      <c r="N387" s="162"/>
      <c r="V387" s="143"/>
      <c r="W387" s="142"/>
      <c r="X387" s="142"/>
      <c r="Y387" s="142"/>
      <c r="Z387" s="142"/>
      <c r="AA387" s="142"/>
    </row>
    <row r="388" spans="2:27" s="141" customFormat="1" x14ac:dyDescent="0.2">
      <c r="B388" s="157">
        <v>37590</v>
      </c>
      <c r="C388" s="158">
        <v>334</v>
      </c>
      <c r="D388" s="159">
        <f>'JSM Eingabe+TW'!DG61</f>
        <v>9.9999999999999995E-7</v>
      </c>
      <c r="E388" s="159">
        <f t="shared" si="45"/>
        <v>0</v>
      </c>
      <c r="F388" s="163">
        <f t="shared" si="48"/>
        <v>9.9999999999999995E-7</v>
      </c>
      <c r="G388" s="160">
        <f t="shared" si="46"/>
        <v>1.1999999999999999E-6</v>
      </c>
      <c r="H388" s="160">
        <f t="shared" si="47"/>
        <v>0</v>
      </c>
      <c r="I388" s="160">
        <f>'JSM Eingabe+TW'!$K$18*3.6*24</f>
        <v>0</v>
      </c>
      <c r="J388" s="159">
        <f t="shared" si="41"/>
        <v>9.9999999999999995E-7</v>
      </c>
      <c r="K388" s="143">
        <f t="shared" si="42"/>
        <v>9.9999999999999995E-7</v>
      </c>
      <c r="L388" s="161" t="str">
        <f t="shared" si="43"/>
        <v xml:space="preserve"> </v>
      </c>
      <c r="M388" s="162">
        <f t="shared" si="44"/>
        <v>9.9999999999999995E-7</v>
      </c>
      <c r="N388" s="162"/>
      <c r="V388" s="143"/>
      <c r="W388" s="142"/>
      <c r="X388" s="142"/>
      <c r="Y388" s="142"/>
      <c r="Z388" s="142"/>
      <c r="AA388" s="142"/>
    </row>
    <row r="389" spans="2:27" s="141" customFormat="1" x14ac:dyDescent="0.2">
      <c r="B389" s="157">
        <v>37591</v>
      </c>
      <c r="C389" s="158">
        <v>335</v>
      </c>
      <c r="D389" s="159">
        <f>'JSM Eingabe+TW'!DH32</f>
        <v>9.9999999999999995E-7</v>
      </c>
      <c r="E389" s="159">
        <f t="shared" si="45"/>
        <v>0</v>
      </c>
      <c r="F389" s="163">
        <f t="shared" si="48"/>
        <v>9.9999999999999995E-7</v>
      </c>
      <c r="G389" s="160">
        <f t="shared" si="46"/>
        <v>1.1999999999999999E-6</v>
      </c>
      <c r="H389" s="160">
        <f t="shared" si="47"/>
        <v>0</v>
      </c>
      <c r="I389" s="160">
        <f>'JSM Eingabe+TW'!$K$18*3.6*24</f>
        <v>0</v>
      </c>
      <c r="J389" s="159">
        <f t="shared" si="41"/>
        <v>9.9999999999999995E-7</v>
      </c>
      <c r="K389" s="143">
        <f t="shared" si="42"/>
        <v>9.9999999999999995E-7</v>
      </c>
      <c r="L389" s="161" t="str">
        <f t="shared" si="43"/>
        <v xml:space="preserve"> </v>
      </c>
      <c r="M389" s="162">
        <f t="shared" si="44"/>
        <v>9.9999999999999995E-7</v>
      </c>
      <c r="N389" s="162"/>
      <c r="V389" s="143"/>
      <c r="W389" s="142"/>
      <c r="X389" s="142"/>
      <c r="Y389" s="142"/>
      <c r="Z389" s="142"/>
      <c r="AA389" s="142"/>
    </row>
    <row r="390" spans="2:27" s="141" customFormat="1" x14ac:dyDescent="0.2">
      <c r="B390" s="157">
        <v>37592</v>
      </c>
      <c r="C390" s="158">
        <v>336</v>
      </c>
      <c r="D390" s="159">
        <f>'JSM Eingabe+TW'!DH33</f>
        <v>9.9999999999999995E-7</v>
      </c>
      <c r="E390" s="159">
        <f t="shared" si="45"/>
        <v>0</v>
      </c>
      <c r="F390" s="163">
        <f t="shared" si="48"/>
        <v>9.9999999999999995E-7</v>
      </c>
      <c r="G390" s="160">
        <f t="shared" si="46"/>
        <v>1.1999999999999999E-6</v>
      </c>
      <c r="H390" s="160">
        <f t="shared" si="47"/>
        <v>0</v>
      </c>
      <c r="I390" s="160">
        <f>'JSM Eingabe+TW'!$K$18*3.6*24</f>
        <v>0</v>
      </c>
      <c r="J390" s="159">
        <f t="shared" si="41"/>
        <v>9.9999999999999995E-7</v>
      </c>
      <c r="K390" s="143">
        <f t="shared" si="42"/>
        <v>9.9999999999999995E-7</v>
      </c>
      <c r="L390" s="161" t="str">
        <f t="shared" si="43"/>
        <v xml:space="preserve"> </v>
      </c>
      <c r="M390" s="162">
        <f t="shared" si="44"/>
        <v>9.9999999999999995E-7</v>
      </c>
      <c r="N390" s="162"/>
      <c r="V390" s="143"/>
      <c r="W390" s="142"/>
      <c r="X390" s="142"/>
      <c r="Y390" s="142"/>
      <c r="Z390" s="142"/>
      <c r="AA390" s="142"/>
    </row>
    <row r="391" spans="2:27" s="141" customFormat="1" x14ac:dyDescent="0.2">
      <c r="B391" s="157">
        <v>37593</v>
      </c>
      <c r="C391" s="158">
        <v>337</v>
      </c>
      <c r="D391" s="159">
        <f>'JSM Eingabe+TW'!DH34</f>
        <v>9.9999999999999995E-7</v>
      </c>
      <c r="E391" s="159">
        <f t="shared" si="45"/>
        <v>0</v>
      </c>
      <c r="F391" s="163">
        <f t="shared" si="48"/>
        <v>9.9999999999999995E-7</v>
      </c>
      <c r="G391" s="160">
        <f t="shared" si="46"/>
        <v>1.1999999999999999E-6</v>
      </c>
      <c r="H391" s="160">
        <f t="shared" si="47"/>
        <v>0</v>
      </c>
      <c r="I391" s="160">
        <f>'JSM Eingabe+TW'!$K$18*3.6*24</f>
        <v>0</v>
      </c>
      <c r="J391" s="159">
        <f t="shared" si="41"/>
        <v>9.9999999999999995E-7</v>
      </c>
      <c r="K391" s="143">
        <f t="shared" si="42"/>
        <v>9.9999999999999995E-7</v>
      </c>
      <c r="L391" s="161" t="str">
        <f t="shared" si="43"/>
        <v xml:space="preserve"> </v>
      </c>
      <c r="M391" s="162">
        <f t="shared" si="44"/>
        <v>9.9999999999999995E-7</v>
      </c>
      <c r="N391" s="162"/>
      <c r="V391" s="164"/>
      <c r="W391" s="142"/>
      <c r="X391" s="142"/>
      <c r="Y391" s="142"/>
      <c r="Z391" s="142"/>
      <c r="AA391" s="142"/>
    </row>
    <row r="392" spans="2:27" s="141" customFormat="1" x14ac:dyDescent="0.2">
      <c r="B392" s="157">
        <v>37594</v>
      </c>
      <c r="C392" s="158">
        <v>338</v>
      </c>
      <c r="D392" s="159">
        <f>'JSM Eingabe+TW'!DH35</f>
        <v>9.9999999999999995E-7</v>
      </c>
      <c r="E392" s="159">
        <f t="shared" si="45"/>
        <v>0</v>
      </c>
      <c r="F392" s="163">
        <f t="shared" si="48"/>
        <v>9.9999999999999995E-7</v>
      </c>
      <c r="G392" s="160">
        <f t="shared" si="46"/>
        <v>1.1999999999999999E-6</v>
      </c>
      <c r="H392" s="160">
        <f t="shared" si="47"/>
        <v>0</v>
      </c>
      <c r="I392" s="160">
        <f>'JSM Eingabe+TW'!$K$18*3.6*24</f>
        <v>0</v>
      </c>
      <c r="J392" s="159">
        <f t="shared" si="41"/>
        <v>9.9999999999999995E-7</v>
      </c>
      <c r="K392" s="143">
        <f t="shared" si="42"/>
        <v>9.9999999999999995E-7</v>
      </c>
      <c r="L392" s="161" t="str">
        <f t="shared" si="43"/>
        <v xml:space="preserve"> </v>
      </c>
      <c r="M392" s="162">
        <f t="shared" si="44"/>
        <v>9.9999999999999995E-7</v>
      </c>
      <c r="N392" s="162"/>
      <c r="W392" s="142"/>
      <c r="X392" s="142"/>
      <c r="Y392" s="142"/>
      <c r="Z392" s="142"/>
      <c r="AA392" s="142"/>
    </row>
    <row r="393" spans="2:27" s="141" customFormat="1" x14ac:dyDescent="0.2">
      <c r="B393" s="157">
        <v>37595</v>
      </c>
      <c r="C393" s="158">
        <v>339</v>
      </c>
      <c r="D393" s="159">
        <f>'JSM Eingabe+TW'!DH36</f>
        <v>9.9999999999999995E-7</v>
      </c>
      <c r="E393" s="159">
        <f t="shared" si="45"/>
        <v>0</v>
      </c>
      <c r="F393" s="163">
        <f t="shared" si="48"/>
        <v>9.9999999999999995E-7</v>
      </c>
      <c r="G393" s="160">
        <f t="shared" si="46"/>
        <v>1.1999999999999999E-6</v>
      </c>
      <c r="H393" s="160">
        <f t="shared" si="47"/>
        <v>0</v>
      </c>
      <c r="I393" s="160">
        <f>'JSM Eingabe+TW'!$K$18*3.6*24</f>
        <v>0</v>
      </c>
      <c r="J393" s="159">
        <f t="shared" si="41"/>
        <v>9.9999999999999995E-7</v>
      </c>
      <c r="K393" s="143">
        <f t="shared" si="42"/>
        <v>9.9999999999999995E-7</v>
      </c>
      <c r="L393" s="161" t="str">
        <f t="shared" si="43"/>
        <v xml:space="preserve"> </v>
      </c>
      <c r="M393" s="162">
        <f t="shared" si="44"/>
        <v>9.9999999999999995E-7</v>
      </c>
      <c r="N393" s="162"/>
      <c r="W393" s="142"/>
      <c r="X393" s="142"/>
      <c r="Y393" s="142"/>
      <c r="Z393" s="142"/>
      <c r="AA393" s="142"/>
    </row>
    <row r="394" spans="2:27" s="141" customFormat="1" x14ac:dyDescent="0.2">
      <c r="B394" s="157">
        <v>37596</v>
      </c>
      <c r="C394" s="158">
        <v>340</v>
      </c>
      <c r="D394" s="159">
        <f>'JSM Eingabe+TW'!DH37</f>
        <v>9.9999999999999995E-7</v>
      </c>
      <c r="E394" s="159">
        <f t="shared" si="45"/>
        <v>0</v>
      </c>
      <c r="F394" s="163">
        <f t="shared" si="48"/>
        <v>9.9999999999999995E-7</v>
      </c>
      <c r="G394" s="160">
        <f t="shared" si="46"/>
        <v>1.1999999999999999E-6</v>
      </c>
      <c r="H394" s="160">
        <f t="shared" si="47"/>
        <v>0</v>
      </c>
      <c r="I394" s="160">
        <f>'JSM Eingabe+TW'!$K$18*3.6*24</f>
        <v>0</v>
      </c>
      <c r="J394" s="159">
        <f t="shared" si="41"/>
        <v>9.9999999999999995E-7</v>
      </c>
      <c r="K394" s="143">
        <f t="shared" si="42"/>
        <v>9.9999999999999995E-7</v>
      </c>
      <c r="L394" s="161" t="str">
        <f t="shared" si="43"/>
        <v xml:space="preserve"> </v>
      </c>
      <c r="M394" s="162">
        <f t="shared" si="44"/>
        <v>9.9999999999999995E-7</v>
      </c>
      <c r="N394" s="162"/>
      <c r="W394" s="142"/>
      <c r="X394" s="142"/>
      <c r="Y394" s="142"/>
      <c r="Z394" s="142"/>
      <c r="AA394" s="142"/>
    </row>
    <row r="395" spans="2:27" s="141" customFormat="1" x14ac:dyDescent="0.2">
      <c r="B395" s="157">
        <v>37597</v>
      </c>
      <c r="C395" s="158">
        <v>341</v>
      </c>
      <c r="D395" s="159">
        <f>'JSM Eingabe+TW'!DH38</f>
        <v>9.9999999999999995E-7</v>
      </c>
      <c r="E395" s="159">
        <f t="shared" si="45"/>
        <v>0</v>
      </c>
      <c r="F395" s="163">
        <f t="shared" si="48"/>
        <v>9.9999999999999995E-7</v>
      </c>
      <c r="G395" s="160">
        <f t="shared" si="46"/>
        <v>1.1999999999999999E-6</v>
      </c>
      <c r="H395" s="160">
        <f t="shared" si="47"/>
        <v>0</v>
      </c>
      <c r="I395" s="160">
        <f>'JSM Eingabe+TW'!$K$18*3.6*24</f>
        <v>0</v>
      </c>
      <c r="J395" s="159">
        <f t="shared" si="41"/>
        <v>9.9999999999999995E-7</v>
      </c>
      <c r="K395" s="143">
        <f t="shared" si="42"/>
        <v>9.9999999999999995E-7</v>
      </c>
      <c r="L395" s="161" t="str">
        <f t="shared" si="43"/>
        <v xml:space="preserve"> </v>
      </c>
      <c r="M395" s="162">
        <f t="shared" si="44"/>
        <v>9.9999999999999995E-7</v>
      </c>
      <c r="N395" s="162"/>
      <c r="W395" s="142"/>
      <c r="X395" s="142"/>
      <c r="Y395" s="142"/>
      <c r="Z395" s="142"/>
      <c r="AA395" s="142"/>
    </row>
    <row r="396" spans="2:27" s="141" customFormat="1" x14ac:dyDescent="0.2">
      <c r="B396" s="157">
        <v>37598</v>
      </c>
      <c r="C396" s="158">
        <v>342</v>
      </c>
      <c r="D396" s="159">
        <f>'JSM Eingabe+TW'!DH39</f>
        <v>9.9999999999999995E-7</v>
      </c>
      <c r="E396" s="159">
        <f t="shared" si="45"/>
        <v>0</v>
      </c>
      <c r="F396" s="163">
        <f t="shared" si="48"/>
        <v>9.9999999999999995E-7</v>
      </c>
      <c r="G396" s="160">
        <f t="shared" si="46"/>
        <v>1.1999999999999999E-6</v>
      </c>
      <c r="H396" s="160">
        <f t="shared" si="47"/>
        <v>0</v>
      </c>
      <c r="I396" s="160">
        <f>'JSM Eingabe+TW'!$K$18*3.6*24</f>
        <v>0</v>
      </c>
      <c r="J396" s="159">
        <f t="shared" si="41"/>
        <v>9.9999999999999995E-7</v>
      </c>
      <c r="K396" s="143">
        <f t="shared" si="42"/>
        <v>9.9999999999999995E-7</v>
      </c>
      <c r="L396" s="161" t="str">
        <f t="shared" si="43"/>
        <v xml:space="preserve"> </v>
      </c>
      <c r="M396" s="162">
        <f t="shared" si="44"/>
        <v>9.9999999999999995E-7</v>
      </c>
      <c r="N396" s="162"/>
      <c r="W396" s="142"/>
      <c r="X396" s="142"/>
      <c r="Y396" s="142"/>
      <c r="Z396" s="142"/>
      <c r="AA396" s="142"/>
    </row>
    <row r="397" spans="2:27" s="141" customFormat="1" x14ac:dyDescent="0.2">
      <c r="B397" s="157">
        <v>37599</v>
      </c>
      <c r="C397" s="158">
        <v>343</v>
      </c>
      <c r="D397" s="159">
        <f>'JSM Eingabe+TW'!DH40</f>
        <v>9.9999999999999995E-7</v>
      </c>
      <c r="E397" s="159">
        <f t="shared" si="45"/>
        <v>0</v>
      </c>
      <c r="F397" s="163">
        <f t="shared" si="48"/>
        <v>9.9999999999999995E-7</v>
      </c>
      <c r="G397" s="160">
        <f t="shared" si="46"/>
        <v>1.1999999999999999E-6</v>
      </c>
      <c r="H397" s="160">
        <f t="shared" si="47"/>
        <v>0</v>
      </c>
      <c r="I397" s="160">
        <f>'JSM Eingabe+TW'!$K$18*3.6*24</f>
        <v>0</v>
      </c>
      <c r="J397" s="159">
        <f t="shared" si="41"/>
        <v>9.9999999999999995E-7</v>
      </c>
      <c r="K397" s="143">
        <f t="shared" si="42"/>
        <v>9.9999999999999995E-7</v>
      </c>
      <c r="L397" s="161" t="str">
        <f t="shared" si="43"/>
        <v xml:space="preserve"> </v>
      </c>
      <c r="M397" s="162">
        <f t="shared" si="44"/>
        <v>9.9999999999999995E-7</v>
      </c>
      <c r="N397" s="162"/>
      <c r="W397" s="142"/>
      <c r="X397" s="142"/>
      <c r="Y397" s="142"/>
      <c r="Z397" s="142"/>
      <c r="AA397" s="142"/>
    </row>
    <row r="398" spans="2:27" s="141" customFormat="1" x14ac:dyDescent="0.2">
      <c r="B398" s="157">
        <v>37600</v>
      </c>
      <c r="C398" s="158">
        <v>344</v>
      </c>
      <c r="D398" s="159">
        <f>'JSM Eingabe+TW'!DH41</f>
        <v>9.9999999999999995E-7</v>
      </c>
      <c r="E398" s="159">
        <f t="shared" si="45"/>
        <v>0</v>
      </c>
      <c r="F398" s="163">
        <f t="shared" si="48"/>
        <v>9.9999999999999995E-7</v>
      </c>
      <c r="G398" s="160">
        <f t="shared" si="46"/>
        <v>1.1999999999999999E-6</v>
      </c>
      <c r="H398" s="160">
        <f t="shared" si="47"/>
        <v>0</v>
      </c>
      <c r="I398" s="160">
        <f>'JSM Eingabe+TW'!$K$18*3.6*24</f>
        <v>0</v>
      </c>
      <c r="J398" s="159">
        <f t="shared" si="41"/>
        <v>9.9999999999999995E-7</v>
      </c>
      <c r="K398" s="143">
        <f t="shared" si="42"/>
        <v>9.9999999999999995E-7</v>
      </c>
      <c r="L398" s="161" t="str">
        <f t="shared" si="43"/>
        <v xml:space="preserve"> </v>
      </c>
      <c r="M398" s="162">
        <f t="shared" si="44"/>
        <v>9.9999999999999995E-7</v>
      </c>
      <c r="N398" s="162"/>
      <c r="W398" s="142"/>
      <c r="X398" s="142"/>
      <c r="Y398" s="142"/>
      <c r="Z398" s="142"/>
      <c r="AA398" s="142"/>
    </row>
    <row r="399" spans="2:27" s="141" customFormat="1" x14ac:dyDescent="0.2">
      <c r="B399" s="157">
        <v>37601</v>
      </c>
      <c r="C399" s="158">
        <v>345</v>
      </c>
      <c r="D399" s="159">
        <f>'JSM Eingabe+TW'!DH42</f>
        <v>9.9999999999999995E-7</v>
      </c>
      <c r="E399" s="159">
        <f t="shared" si="45"/>
        <v>0</v>
      </c>
      <c r="F399" s="163">
        <f t="shared" si="48"/>
        <v>9.9999999999999995E-7</v>
      </c>
      <c r="G399" s="160">
        <f t="shared" si="46"/>
        <v>1.1999999999999999E-6</v>
      </c>
      <c r="H399" s="160">
        <f t="shared" si="47"/>
        <v>0</v>
      </c>
      <c r="I399" s="160">
        <f>'JSM Eingabe+TW'!$K$18*3.6*24</f>
        <v>0</v>
      </c>
      <c r="J399" s="159">
        <f t="shared" si="41"/>
        <v>9.9999999999999995E-7</v>
      </c>
      <c r="K399" s="143">
        <f t="shared" si="42"/>
        <v>9.9999999999999995E-7</v>
      </c>
      <c r="L399" s="161" t="str">
        <f t="shared" si="43"/>
        <v xml:space="preserve"> </v>
      </c>
      <c r="M399" s="162">
        <f t="shared" si="44"/>
        <v>9.9999999999999995E-7</v>
      </c>
      <c r="N399" s="162"/>
      <c r="W399" s="142"/>
      <c r="X399" s="142"/>
      <c r="Y399" s="142"/>
      <c r="Z399" s="142"/>
      <c r="AA399" s="142"/>
    </row>
    <row r="400" spans="2:27" s="141" customFormat="1" x14ac:dyDescent="0.2">
      <c r="B400" s="157">
        <v>37602</v>
      </c>
      <c r="C400" s="158">
        <v>346</v>
      </c>
      <c r="D400" s="159">
        <f>'JSM Eingabe+TW'!DH43</f>
        <v>9.9999999999999995E-7</v>
      </c>
      <c r="E400" s="159">
        <f t="shared" si="45"/>
        <v>0</v>
      </c>
      <c r="F400" s="163">
        <f t="shared" si="48"/>
        <v>9.9999999999999995E-7</v>
      </c>
      <c r="G400" s="160">
        <f t="shared" si="46"/>
        <v>1.1999999999999999E-6</v>
      </c>
      <c r="H400" s="160">
        <f t="shared" si="47"/>
        <v>0</v>
      </c>
      <c r="I400" s="160">
        <f>'JSM Eingabe+TW'!$K$18*3.6*24</f>
        <v>0</v>
      </c>
      <c r="J400" s="159">
        <f t="shared" si="41"/>
        <v>9.9999999999999995E-7</v>
      </c>
      <c r="K400" s="143">
        <f t="shared" si="42"/>
        <v>9.9999999999999995E-7</v>
      </c>
      <c r="L400" s="161" t="str">
        <f t="shared" si="43"/>
        <v xml:space="preserve"> </v>
      </c>
      <c r="M400" s="162">
        <f t="shared" si="44"/>
        <v>9.9999999999999995E-7</v>
      </c>
      <c r="N400" s="162"/>
      <c r="W400" s="142"/>
      <c r="X400" s="142"/>
      <c r="Y400" s="142"/>
      <c r="Z400" s="142"/>
      <c r="AA400" s="142"/>
    </row>
    <row r="401" spans="2:27" s="141" customFormat="1" x14ac:dyDescent="0.2">
      <c r="B401" s="157">
        <v>37603</v>
      </c>
      <c r="C401" s="158">
        <v>347</v>
      </c>
      <c r="D401" s="159">
        <f>'JSM Eingabe+TW'!DH44</f>
        <v>9.9999999999999995E-7</v>
      </c>
      <c r="E401" s="159">
        <f t="shared" si="45"/>
        <v>0</v>
      </c>
      <c r="F401" s="163">
        <f t="shared" si="48"/>
        <v>9.9999999999999995E-7</v>
      </c>
      <c r="G401" s="160">
        <f t="shared" si="46"/>
        <v>1.1999999999999999E-6</v>
      </c>
      <c r="H401" s="160">
        <f t="shared" si="47"/>
        <v>0</v>
      </c>
      <c r="I401" s="160">
        <f>'JSM Eingabe+TW'!$K$18*3.6*24</f>
        <v>0</v>
      </c>
      <c r="J401" s="159">
        <f t="shared" si="41"/>
        <v>9.9999999999999995E-7</v>
      </c>
      <c r="K401" s="143">
        <f t="shared" si="42"/>
        <v>9.9999999999999995E-7</v>
      </c>
      <c r="L401" s="161" t="str">
        <f t="shared" si="43"/>
        <v xml:space="preserve"> </v>
      </c>
      <c r="M401" s="162">
        <f t="shared" si="44"/>
        <v>9.9999999999999995E-7</v>
      </c>
      <c r="N401" s="162"/>
      <c r="W401" s="142"/>
      <c r="X401" s="142"/>
      <c r="Y401" s="142"/>
      <c r="Z401" s="142"/>
      <c r="AA401" s="142"/>
    </row>
    <row r="402" spans="2:27" s="141" customFormat="1" x14ac:dyDescent="0.2">
      <c r="B402" s="157">
        <v>37604</v>
      </c>
      <c r="C402" s="158">
        <v>348</v>
      </c>
      <c r="D402" s="159">
        <f>'JSM Eingabe+TW'!DH45</f>
        <v>9.9999999999999995E-7</v>
      </c>
      <c r="E402" s="159">
        <f t="shared" si="45"/>
        <v>0</v>
      </c>
      <c r="F402" s="163">
        <f t="shared" si="48"/>
        <v>9.9999999999999995E-7</v>
      </c>
      <c r="G402" s="160">
        <f t="shared" si="46"/>
        <v>1.1999999999999999E-6</v>
      </c>
      <c r="H402" s="160">
        <f t="shared" si="47"/>
        <v>0</v>
      </c>
      <c r="I402" s="160">
        <f>'JSM Eingabe+TW'!$K$18*3.6*24</f>
        <v>0</v>
      </c>
      <c r="J402" s="159">
        <f t="shared" si="41"/>
        <v>9.9999999999999995E-7</v>
      </c>
      <c r="K402" s="143">
        <f t="shared" si="42"/>
        <v>9.9999999999999995E-7</v>
      </c>
      <c r="L402" s="161" t="str">
        <f t="shared" si="43"/>
        <v xml:space="preserve"> </v>
      </c>
      <c r="M402" s="162">
        <f t="shared" si="44"/>
        <v>9.9999999999999995E-7</v>
      </c>
      <c r="N402" s="162"/>
      <c r="W402" s="142"/>
      <c r="X402" s="142"/>
      <c r="Y402" s="142"/>
      <c r="Z402" s="142"/>
      <c r="AA402" s="142"/>
    </row>
    <row r="403" spans="2:27" s="141" customFormat="1" x14ac:dyDescent="0.2">
      <c r="B403" s="157">
        <v>37605</v>
      </c>
      <c r="C403" s="158">
        <v>349</v>
      </c>
      <c r="D403" s="159">
        <f>'JSM Eingabe+TW'!DH46</f>
        <v>9.9999999999999995E-7</v>
      </c>
      <c r="E403" s="159">
        <f t="shared" si="45"/>
        <v>0</v>
      </c>
      <c r="F403" s="163">
        <f t="shared" si="48"/>
        <v>9.9999999999999995E-7</v>
      </c>
      <c r="G403" s="160">
        <f t="shared" si="46"/>
        <v>1.1999999999999999E-6</v>
      </c>
      <c r="H403" s="160">
        <f t="shared" si="47"/>
        <v>0</v>
      </c>
      <c r="I403" s="160">
        <f>'JSM Eingabe+TW'!$K$18*3.6*24</f>
        <v>0</v>
      </c>
      <c r="J403" s="159">
        <f t="shared" si="41"/>
        <v>9.9999999999999995E-7</v>
      </c>
      <c r="K403" s="143">
        <f t="shared" si="42"/>
        <v>9.9999999999999995E-7</v>
      </c>
      <c r="L403" s="161" t="str">
        <f t="shared" si="43"/>
        <v xml:space="preserve"> </v>
      </c>
      <c r="M403" s="162">
        <f t="shared" si="44"/>
        <v>9.9999999999999995E-7</v>
      </c>
      <c r="N403" s="162"/>
      <c r="W403" s="142"/>
      <c r="X403" s="142"/>
      <c r="Y403" s="142"/>
      <c r="Z403" s="142"/>
      <c r="AA403" s="142"/>
    </row>
    <row r="404" spans="2:27" s="141" customFormat="1" x14ac:dyDescent="0.2">
      <c r="B404" s="157">
        <v>37606</v>
      </c>
      <c r="C404" s="158">
        <v>350</v>
      </c>
      <c r="D404" s="159">
        <f>'JSM Eingabe+TW'!DH47</f>
        <v>9.9999999999999995E-7</v>
      </c>
      <c r="E404" s="159">
        <f t="shared" si="45"/>
        <v>0</v>
      </c>
      <c r="F404" s="163">
        <f t="shared" si="48"/>
        <v>9.9999999999999995E-7</v>
      </c>
      <c r="G404" s="160">
        <f t="shared" si="46"/>
        <v>1.1999999999999999E-6</v>
      </c>
      <c r="H404" s="160">
        <f t="shared" si="47"/>
        <v>0</v>
      </c>
      <c r="I404" s="160">
        <f>'JSM Eingabe+TW'!$K$18*3.6*24</f>
        <v>0</v>
      </c>
      <c r="J404" s="159">
        <f t="shared" si="41"/>
        <v>9.9999999999999995E-7</v>
      </c>
      <c r="K404" s="143">
        <f t="shared" si="42"/>
        <v>9.9999999999999995E-7</v>
      </c>
      <c r="L404" s="161" t="str">
        <f t="shared" si="43"/>
        <v xml:space="preserve"> </v>
      </c>
      <c r="M404" s="162">
        <f t="shared" si="44"/>
        <v>9.9999999999999995E-7</v>
      </c>
      <c r="N404" s="162"/>
      <c r="W404" s="142"/>
      <c r="X404" s="142"/>
      <c r="Y404" s="142"/>
      <c r="Z404" s="142"/>
      <c r="AA404" s="142"/>
    </row>
    <row r="405" spans="2:27" s="141" customFormat="1" x14ac:dyDescent="0.2">
      <c r="B405" s="157">
        <v>37607</v>
      </c>
      <c r="C405" s="158">
        <v>351</v>
      </c>
      <c r="D405" s="159">
        <f>'JSM Eingabe+TW'!DH48</f>
        <v>9.9999999999999995E-7</v>
      </c>
      <c r="E405" s="159">
        <f t="shared" si="45"/>
        <v>0</v>
      </c>
      <c r="F405" s="163">
        <f t="shared" si="48"/>
        <v>9.9999999999999995E-7</v>
      </c>
      <c r="G405" s="160">
        <f t="shared" si="46"/>
        <v>1.1999999999999999E-6</v>
      </c>
      <c r="H405" s="160">
        <f t="shared" si="47"/>
        <v>0</v>
      </c>
      <c r="I405" s="160">
        <f>'JSM Eingabe+TW'!$K$18*3.6*24</f>
        <v>0</v>
      </c>
      <c r="J405" s="159">
        <f t="shared" si="41"/>
        <v>9.9999999999999995E-7</v>
      </c>
      <c r="K405" s="143">
        <f t="shared" si="42"/>
        <v>9.9999999999999995E-7</v>
      </c>
      <c r="L405" s="161" t="str">
        <f t="shared" si="43"/>
        <v xml:space="preserve"> </v>
      </c>
      <c r="M405" s="162">
        <f t="shared" si="44"/>
        <v>9.9999999999999995E-7</v>
      </c>
      <c r="N405" s="162"/>
      <c r="W405" s="142"/>
      <c r="X405" s="142"/>
      <c r="Y405" s="142"/>
      <c r="Z405" s="142"/>
      <c r="AA405" s="142"/>
    </row>
    <row r="406" spans="2:27" s="141" customFormat="1" x14ac:dyDescent="0.2">
      <c r="B406" s="157">
        <v>37608</v>
      </c>
      <c r="C406" s="158">
        <v>352</v>
      </c>
      <c r="D406" s="159">
        <f>'JSM Eingabe+TW'!DH49</f>
        <v>9.9999999999999995E-7</v>
      </c>
      <c r="E406" s="159">
        <f t="shared" si="45"/>
        <v>0</v>
      </c>
      <c r="F406" s="163">
        <f t="shared" si="48"/>
        <v>9.9999999999999995E-7</v>
      </c>
      <c r="G406" s="160">
        <f t="shared" si="46"/>
        <v>1.1999999999999999E-6</v>
      </c>
      <c r="H406" s="160">
        <f t="shared" si="47"/>
        <v>0</v>
      </c>
      <c r="I406" s="160">
        <f>'JSM Eingabe+TW'!$K$18*3.6*24</f>
        <v>0</v>
      </c>
      <c r="J406" s="159">
        <f t="shared" si="41"/>
        <v>9.9999999999999995E-7</v>
      </c>
      <c r="K406" s="143">
        <f t="shared" si="42"/>
        <v>9.9999999999999995E-7</v>
      </c>
      <c r="L406" s="161" t="str">
        <f t="shared" si="43"/>
        <v xml:space="preserve"> </v>
      </c>
      <c r="M406" s="162">
        <f t="shared" si="44"/>
        <v>9.9999999999999995E-7</v>
      </c>
      <c r="N406" s="162"/>
      <c r="W406" s="142"/>
      <c r="X406" s="142"/>
      <c r="Y406" s="142"/>
      <c r="Z406" s="142"/>
      <c r="AA406" s="142"/>
    </row>
    <row r="407" spans="2:27" s="141" customFormat="1" x14ac:dyDescent="0.2">
      <c r="B407" s="157">
        <v>37609</v>
      </c>
      <c r="C407" s="158">
        <v>353</v>
      </c>
      <c r="D407" s="159">
        <f>'JSM Eingabe+TW'!DH50</f>
        <v>9.9999999999999995E-7</v>
      </c>
      <c r="E407" s="159">
        <f t="shared" si="45"/>
        <v>0</v>
      </c>
      <c r="F407" s="163">
        <f t="shared" si="48"/>
        <v>9.9999999999999995E-7</v>
      </c>
      <c r="G407" s="160">
        <f t="shared" si="46"/>
        <v>1.1999999999999999E-6</v>
      </c>
      <c r="H407" s="160">
        <f t="shared" si="47"/>
        <v>0</v>
      </c>
      <c r="I407" s="160">
        <f>'JSM Eingabe+TW'!$K$18*3.6*24</f>
        <v>0</v>
      </c>
      <c r="J407" s="159">
        <f t="shared" si="41"/>
        <v>9.9999999999999995E-7</v>
      </c>
      <c r="K407" s="143">
        <f t="shared" si="42"/>
        <v>9.9999999999999995E-7</v>
      </c>
      <c r="L407" s="161" t="str">
        <f t="shared" si="43"/>
        <v xml:space="preserve"> </v>
      </c>
      <c r="M407" s="162">
        <f t="shared" si="44"/>
        <v>9.9999999999999995E-7</v>
      </c>
      <c r="N407" s="162"/>
      <c r="W407" s="142"/>
      <c r="X407" s="142"/>
      <c r="Y407" s="142"/>
      <c r="Z407" s="142"/>
      <c r="AA407" s="142"/>
    </row>
    <row r="408" spans="2:27" s="141" customFormat="1" x14ac:dyDescent="0.2">
      <c r="B408" s="157">
        <v>37610</v>
      </c>
      <c r="C408" s="158">
        <v>354</v>
      </c>
      <c r="D408" s="159">
        <f>'JSM Eingabe+TW'!DH51</f>
        <v>9.9999999999999995E-7</v>
      </c>
      <c r="E408" s="159">
        <f t="shared" si="45"/>
        <v>0</v>
      </c>
      <c r="F408" s="163">
        <f t="shared" si="48"/>
        <v>9.9999999999999995E-7</v>
      </c>
      <c r="G408" s="160">
        <f t="shared" si="46"/>
        <v>1.1999999999999999E-6</v>
      </c>
      <c r="H408" s="160">
        <f t="shared" si="47"/>
        <v>0</v>
      </c>
      <c r="I408" s="160">
        <f>'JSM Eingabe+TW'!$K$18*3.6*24</f>
        <v>0</v>
      </c>
      <c r="J408" s="159">
        <f t="shared" si="41"/>
        <v>9.9999999999999995E-7</v>
      </c>
      <c r="K408" s="143">
        <f t="shared" si="42"/>
        <v>9.9999999999999995E-7</v>
      </c>
      <c r="L408" s="161" t="str">
        <f t="shared" si="43"/>
        <v xml:space="preserve"> </v>
      </c>
      <c r="M408" s="162">
        <f t="shared" si="44"/>
        <v>9.9999999999999995E-7</v>
      </c>
      <c r="N408" s="162"/>
      <c r="W408" s="142"/>
      <c r="X408" s="142"/>
      <c r="Y408" s="142"/>
      <c r="Z408" s="142"/>
      <c r="AA408" s="142"/>
    </row>
    <row r="409" spans="2:27" s="141" customFormat="1" x14ac:dyDescent="0.2">
      <c r="B409" s="157">
        <v>37611</v>
      </c>
      <c r="C409" s="158">
        <v>355</v>
      </c>
      <c r="D409" s="159">
        <f>'JSM Eingabe+TW'!DH52</f>
        <v>9.9999999999999995E-7</v>
      </c>
      <c r="E409" s="159">
        <f t="shared" si="45"/>
        <v>0</v>
      </c>
      <c r="F409" s="163">
        <f t="shared" si="48"/>
        <v>9.9999999999999995E-7</v>
      </c>
      <c r="G409" s="160">
        <f t="shared" si="46"/>
        <v>1.1999999999999999E-6</v>
      </c>
      <c r="H409" s="160">
        <f t="shared" si="47"/>
        <v>0</v>
      </c>
      <c r="I409" s="160">
        <f>'JSM Eingabe+TW'!$K$18*3.6*24</f>
        <v>0</v>
      </c>
      <c r="J409" s="159">
        <f t="shared" si="41"/>
        <v>9.9999999999999995E-7</v>
      </c>
      <c r="K409" s="143">
        <f t="shared" si="42"/>
        <v>9.9999999999999995E-7</v>
      </c>
      <c r="L409" s="161" t="str">
        <f t="shared" si="43"/>
        <v xml:space="preserve"> </v>
      </c>
      <c r="M409" s="162">
        <f t="shared" si="44"/>
        <v>9.9999999999999995E-7</v>
      </c>
      <c r="N409" s="162"/>
      <c r="W409" s="142"/>
      <c r="X409" s="142"/>
      <c r="Y409" s="142"/>
      <c r="Z409" s="142"/>
      <c r="AA409" s="142"/>
    </row>
    <row r="410" spans="2:27" s="141" customFormat="1" x14ac:dyDescent="0.2">
      <c r="B410" s="157">
        <v>37612</v>
      </c>
      <c r="C410" s="158">
        <v>356</v>
      </c>
      <c r="D410" s="159">
        <f>'JSM Eingabe+TW'!DH53</f>
        <v>9.9999999999999995E-7</v>
      </c>
      <c r="E410" s="159">
        <f t="shared" si="45"/>
        <v>0</v>
      </c>
      <c r="F410" s="163">
        <f t="shared" si="48"/>
        <v>9.9999999999999995E-7</v>
      </c>
      <c r="G410" s="160">
        <f t="shared" si="46"/>
        <v>1.1999999999999999E-6</v>
      </c>
      <c r="H410" s="160">
        <f t="shared" si="47"/>
        <v>0</v>
      </c>
      <c r="I410" s="160">
        <f>'JSM Eingabe+TW'!$K$18*3.6*24</f>
        <v>0</v>
      </c>
      <c r="J410" s="159">
        <f t="shared" si="41"/>
        <v>9.9999999999999995E-7</v>
      </c>
      <c r="K410" s="143">
        <f t="shared" si="42"/>
        <v>9.9999999999999995E-7</v>
      </c>
      <c r="L410" s="161" t="str">
        <f t="shared" si="43"/>
        <v xml:space="preserve"> </v>
      </c>
      <c r="M410" s="162">
        <f t="shared" si="44"/>
        <v>9.9999999999999995E-7</v>
      </c>
      <c r="N410" s="162"/>
      <c r="W410" s="142"/>
      <c r="X410" s="142"/>
      <c r="Y410" s="142"/>
      <c r="Z410" s="142"/>
      <c r="AA410" s="142"/>
    </row>
    <row r="411" spans="2:27" s="141" customFormat="1" x14ac:dyDescent="0.2">
      <c r="B411" s="157">
        <v>37613</v>
      </c>
      <c r="C411" s="158">
        <v>357</v>
      </c>
      <c r="D411" s="159">
        <f>'JSM Eingabe+TW'!DH54</f>
        <v>9.9999999999999995E-7</v>
      </c>
      <c r="E411" s="159">
        <f t="shared" si="45"/>
        <v>0</v>
      </c>
      <c r="F411" s="163">
        <f t="shared" si="48"/>
        <v>9.9999999999999995E-7</v>
      </c>
      <c r="G411" s="160">
        <f t="shared" si="46"/>
        <v>1.1999999999999999E-6</v>
      </c>
      <c r="H411" s="160">
        <f t="shared" si="47"/>
        <v>0</v>
      </c>
      <c r="I411" s="160">
        <f>'JSM Eingabe+TW'!$K$18*3.6*24</f>
        <v>0</v>
      </c>
      <c r="J411" s="159">
        <f t="shared" si="41"/>
        <v>9.9999999999999995E-7</v>
      </c>
      <c r="K411" s="143">
        <f t="shared" si="42"/>
        <v>9.9999999999999995E-7</v>
      </c>
      <c r="L411" s="161" t="str">
        <f t="shared" si="43"/>
        <v xml:space="preserve"> </v>
      </c>
      <c r="M411" s="162">
        <f t="shared" si="44"/>
        <v>9.9999999999999995E-7</v>
      </c>
      <c r="N411" s="162"/>
      <c r="W411" s="142"/>
      <c r="X411" s="142"/>
      <c r="Y411" s="142"/>
      <c r="Z411" s="142"/>
      <c r="AA411" s="142"/>
    </row>
    <row r="412" spans="2:27" s="141" customFormat="1" x14ac:dyDescent="0.2">
      <c r="B412" s="157">
        <v>37614</v>
      </c>
      <c r="C412" s="158">
        <v>358</v>
      </c>
      <c r="D412" s="159">
        <f>'JSM Eingabe+TW'!DH55</f>
        <v>9.9999999999999995E-7</v>
      </c>
      <c r="E412" s="159">
        <f t="shared" si="45"/>
        <v>0</v>
      </c>
      <c r="F412" s="163">
        <f t="shared" si="48"/>
        <v>9.9999999999999995E-7</v>
      </c>
      <c r="G412" s="160">
        <f t="shared" si="46"/>
        <v>1.1999999999999999E-6</v>
      </c>
      <c r="H412" s="160">
        <f t="shared" si="47"/>
        <v>0</v>
      </c>
      <c r="I412" s="160">
        <f>'JSM Eingabe+TW'!$K$18*3.6*24</f>
        <v>0</v>
      </c>
      <c r="J412" s="159">
        <f t="shared" si="41"/>
        <v>9.9999999999999995E-7</v>
      </c>
      <c r="K412" s="143">
        <f t="shared" si="42"/>
        <v>9.9999999999999995E-7</v>
      </c>
      <c r="L412" s="161" t="str">
        <f t="shared" si="43"/>
        <v xml:space="preserve"> </v>
      </c>
      <c r="M412" s="162">
        <f t="shared" si="44"/>
        <v>9.9999999999999995E-7</v>
      </c>
      <c r="N412" s="162"/>
      <c r="W412" s="142"/>
      <c r="X412" s="142"/>
      <c r="Y412" s="142"/>
      <c r="Z412" s="142"/>
      <c r="AA412" s="142"/>
    </row>
    <row r="413" spans="2:27" s="141" customFormat="1" x14ac:dyDescent="0.2">
      <c r="B413" s="157">
        <v>37615</v>
      </c>
      <c r="C413" s="158">
        <v>359</v>
      </c>
      <c r="D413" s="159">
        <f>'JSM Eingabe+TW'!DH56</f>
        <v>9.9999999999999995E-7</v>
      </c>
      <c r="E413" s="159">
        <f t="shared" si="45"/>
        <v>0</v>
      </c>
      <c r="F413" s="163">
        <f t="shared" si="48"/>
        <v>9.9999999999999995E-7</v>
      </c>
      <c r="G413" s="160">
        <f t="shared" si="46"/>
        <v>1.1999999999999999E-6</v>
      </c>
      <c r="H413" s="160">
        <f t="shared" si="47"/>
        <v>0</v>
      </c>
      <c r="I413" s="160">
        <f>'JSM Eingabe+TW'!$K$18*3.6*24</f>
        <v>0</v>
      </c>
      <c r="J413" s="159">
        <f t="shared" si="41"/>
        <v>9.9999999999999995E-7</v>
      </c>
      <c r="K413" s="143">
        <f t="shared" si="42"/>
        <v>9.9999999999999995E-7</v>
      </c>
      <c r="L413" s="161" t="str">
        <f t="shared" si="43"/>
        <v xml:space="preserve"> </v>
      </c>
      <c r="M413" s="162">
        <f t="shared" si="44"/>
        <v>9.9999999999999995E-7</v>
      </c>
      <c r="N413" s="162"/>
      <c r="W413" s="142"/>
      <c r="X413" s="142"/>
      <c r="Y413" s="142"/>
      <c r="Z413" s="142"/>
      <c r="AA413" s="142"/>
    </row>
    <row r="414" spans="2:27" s="141" customFormat="1" x14ac:dyDescent="0.2">
      <c r="B414" s="157">
        <v>37616</v>
      </c>
      <c r="C414" s="158">
        <v>360</v>
      </c>
      <c r="D414" s="159">
        <f>'JSM Eingabe+TW'!DH57</f>
        <v>9.9999999999999995E-7</v>
      </c>
      <c r="E414" s="159">
        <f t="shared" si="45"/>
        <v>0</v>
      </c>
      <c r="F414" s="163">
        <f t="shared" si="48"/>
        <v>9.9999999999999995E-7</v>
      </c>
      <c r="G414" s="160">
        <f t="shared" si="46"/>
        <v>1.1999999999999999E-6</v>
      </c>
      <c r="H414" s="160">
        <f t="shared" si="47"/>
        <v>0</v>
      </c>
      <c r="I414" s="160">
        <f>'JSM Eingabe+TW'!$K$18*3.6*24</f>
        <v>0</v>
      </c>
      <c r="J414" s="159">
        <f t="shared" si="41"/>
        <v>9.9999999999999995E-7</v>
      </c>
      <c r="K414" s="143">
        <f t="shared" si="42"/>
        <v>9.9999999999999995E-7</v>
      </c>
      <c r="L414" s="161" t="str">
        <f t="shared" si="43"/>
        <v xml:space="preserve"> </v>
      </c>
      <c r="M414" s="162">
        <f t="shared" si="44"/>
        <v>9.9999999999999995E-7</v>
      </c>
      <c r="N414" s="162"/>
      <c r="W414" s="142"/>
      <c r="X414" s="142"/>
      <c r="Y414" s="142"/>
      <c r="Z414" s="142"/>
      <c r="AA414" s="142"/>
    </row>
    <row r="415" spans="2:27" s="141" customFormat="1" x14ac:dyDescent="0.2">
      <c r="B415" s="157">
        <v>37617</v>
      </c>
      <c r="C415" s="158">
        <v>361</v>
      </c>
      <c r="D415" s="159">
        <f>'JSM Eingabe+TW'!DH58</f>
        <v>9.9999999999999995E-7</v>
      </c>
      <c r="E415" s="159">
        <f t="shared" si="45"/>
        <v>0</v>
      </c>
      <c r="F415" s="163">
        <f t="shared" si="48"/>
        <v>9.9999999999999995E-7</v>
      </c>
      <c r="G415" s="160">
        <f t="shared" si="46"/>
        <v>1.1999999999999999E-6</v>
      </c>
      <c r="H415" s="160">
        <f t="shared" si="47"/>
        <v>0</v>
      </c>
      <c r="I415" s="160">
        <f>'JSM Eingabe+TW'!$K$18*3.6*24</f>
        <v>0</v>
      </c>
      <c r="J415" s="159">
        <f t="shared" si="41"/>
        <v>9.9999999999999995E-7</v>
      </c>
      <c r="K415" s="143">
        <f t="shared" si="42"/>
        <v>9.9999999999999995E-7</v>
      </c>
      <c r="L415" s="161" t="str">
        <f t="shared" si="43"/>
        <v xml:space="preserve"> </v>
      </c>
      <c r="M415" s="162">
        <f t="shared" si="44"/>
        <v>9.9999999999999995E-7</v>
      </c>
      <c r="N415" s="162"/>
      <c r="W415" s="142"/>
      <c r="X415" s="142"/>
      <c r="Y415" s="142"/>
      <c r="Z415" s="142"/>
      <c r="AA415" s="142"/>
    </row>
    <row r="416" spans="2:27" s="141" customFormat="1" x14ac:dyDescent="0.2">
      <c r="B416" s="157">
        <v>37618</v>
      </c>
      <c r="C416" s="158">
        <v>362</v>
      </c>
      <c r="D416" s="159">
        <f>'JSM Eingabe+TW'!DH59</f>
        <v>9.9999999999999995E-7</v>
      </c>
      <c r="E416" s="159">
        <f t="shared" si="45"/>
        <v>0</v>
      </c>
      <c r="F416" s="163">
        <f t="shared" si="48"/>
        <v>9.9999999999999995E-7</v>
      </c>
      <c r="G416" s="160">
        <f t="shared" si="46"/>
        <v>1.1999999999999999E-6</v>
      </c>
      <c r="H416" s="160">
        <f t="shared" si="47"/>
        <v>0</v>
      </c>
      <c r="I416" s="160">
        <f>'JSM Eingabe+TW'!$K$18*3.6*24</f>
        <v>0</v>
      </c>
      <c r="J416" s="159">
        <f t="shared" si="41"/>
        <v>9.9999999999999995E-7</v>
      </c>
      <c r="K416" s="143">
        <f t="shared" si="42"/>
        <v>9.9999999999999995E-7</v>
      </c>
      <c r="L416" s="161" t="str">
        <f t="shared" si="43"/>
        <v xml:space="preserve"> </v>
      </c>
      <c r="M416" s="162">
        <f t="shared" si="44"/>
        <v>9.9999999999999995E-7</v>
      </c>
      <c r="N416" s="162"/>
      <c r="W416" s="142"/>
      <c r="X416" s="142"/>
      <c r="Y416" s="142"/>
      <c r="Z416" s="142"/>
      <c r="AA416" s="142"/>
    </row>
    <row r="417" spans="2:27" s="141" customFormat="1" x14ac:dyDescent="0.2">
      <c r="B417" s="157">
        <v>37619</v>
      </c>
      <c r="C417" s="158">
        <v>363</v>
      </c>
      <c r="D417" s="159">
        <f>'JSM Eingabe+TW'!DH60</f>
        <v>9.9999999999999995E-7</v>
      </c>
      <c r="E417" s="159">
        <f t="shared" si="45"/>
        <v>0</v>
      </c>
      <c r="F417" s="163">
        <f t="shared" si="48"/>
        <v>9.9999999999999995E-7</v>
      </c>
      <c r="G417" s="160">
        <f t="shared" si="46"/>
        <v>1.1999999999999999E-6</v>
      </c>
      <c r="H417" s="160">
        <f t="shared" si="47"/>
        <v>0</v>
      </c>
      <c r="I417" s="160">
        <f>'JSM Eingabe+TW'!$K$18*3.6*24</f>
        <v>0</v>
      </c>
      <c r="J417" s="159">
        <f t="shared" si="41"/>
        <v>9.9999999999999995E-7</v>
      </c>
      <c r="K417" s="143">
        <f t="shared" si="42"/>
        <v>9.9999999999999995E-7</v>
      </c>
      <c r="L417" s="161" t="str">
        <f t="shared" si="43"/>
        <v xml:space="preserve"> </v>
      </c>
      <c r="M417" s="162">
        <f t="shared" si="44"/>
        <v>9.9999999999999995E-7</v>
      </c>
      <c r="N417" s="162"/>
      <c r="W417" s="142"/>
      <c r="X417" s="142"/>
      <c r="Y417" s="142"/>
      <c r="Z417" s="142"/>
      <c r="AA417" s="142"/>
    </row>
    <row r="418" spans="2:27" s="141" customFormat="1" x14ac:dyDescent="0.2">
      <c r="B418" s="157">
        <v>37620</v>
      </c>
      <c r="C418" s="158">
        <v>364</v>
      </c>
      <c r="D418" s="159">
        <f>'JSM Eingabe+TW'!DH61</f>
        <v>9.9999999999999995E-7</v>
      </c>
      <c r="E418" s="159">
        <f t="shared" si="45"/>
        <v>0</v>
      </c>
      <c r="F418" s="163">
        <f t="shared" si="48"/>
        <v>9.9999999999999995E-7</v>
      </c>
      <c r="G418" s="160">
        <f t="shared" si="46"/>
        <v>1.1999999999999999E-6</v>
      </c>
      <c r="H418" s="160">
        <f t="shared" si="47"/>
        <v>0</v>
      </c>
      <c r="I418" s="160">
        <f>'JSM Eingabe+TW'!$K$18*3.6*24</f>
        <v>0</v>
      </c>
      <c r="J418" s="159">
        <f t="shared" si="41"/>
        <v>9.9999999999999995E-7</v>
      </c>
      <c r="K418" s="143">
        <f t="shared" si="42"/>
        <v>9.9999999999999995E-7</v>
      </c>
      <c r="L418" s="161" t="str">
        <f t="shared" si="43"/>
        <v xml:space="preserve"> </v>
      </c>
      <c r="M418" s="162">
        <f t="shared" si="44"/>
        <v>9.9999999999999995E-7</v>
      </c>
      <c r="N418" s="162"/>
      <c r="W418" s="142"/>
      <c r="X418" s="142"/>
      <c r="Y418" s="142"/>
      <c r="Z418" s="142"/>
      <c r="AA418" s="142"/>
    </row>
    <row r="419" spans="2:27" s="141" customFormat="1" x14ac:dyDescent="0.2">
      <c r="B419" s="157">
        <v>37621</v>
      </c>
      <c r="C419" s="158">
        <v>365</v>
      </c>
      <c r="D419" s="159">
        <f>'JSM Eingabe+TW'!DH62</f>
        <v>9.9999999999999995E-7</v>
      </c>
      <c r="E419" s="159">
        <f t="shared" si="45"/>
        <v>0</v>
      </c>
      <c r="F419" s="163">
        <f t="shared" si="48"/>
        <v>9.9999999999999995E-7</v>
      </c>
      <c r="G419" s="160">
        <f t="shared" si="46"/>
        <v>1.1999999999999999E-6</v>
      </c>
      <c r="H419" s="160">
        <f t="shared" si="47"/>
        <v>0</v>
      </c>
      <c r="I419" s="160">
        <f>'JSM Eingabe+TW'!$K$18*3.6*24</f>
        <v>0</v>
      </c>
      <c r="J419" s="159">
        <f t="shared" si="41"/>
        <v>9.9999999999999995E-7</v>
      </c>
      <c r="K419" s="143">
        <f t="shared" si="42"/>
        <v>9.9999999999999995E-7</v>
      </c>
      <c r="L419" s="161" t="str">
        <f t="shared" si="43"/>
        <v xml:space="preserve"> </v>
      </c>
      <c r="M419" s="162">
        <f t="shared" si="44"/>
        <v>9.9999999999999995E-7</v>
      </c>
      <c r="N419" s="162"/>
      <c r="W419" s="142"/>
      <c r="X419" s="142"/>
      <c r="Y419" s="142"/>
      <c r="Z419" s="142"/>
      <c r="AA419" s="142"/>
    </row>
    <row r="420" spans="2:27" s="141" customFormat="1" x14ac:dyDescent="0.2">
      <c r="B420" s="165"/>
      <c r="D420" s="166">
        <f>SUM(D55:D419)</f>
        <v>3.6500000000000237E-4</v>
      </c>
      <c r="E420" s="166">
        <f>SUM(E55:E419)</f>
        <v>0</v>
      </c>
      <c r="F420" s="167">
        <f>SUM(F55:F419)</f>
        <v>3.6500000000000237E-4</v>
      </c>
      <c r="G420" s="167">
        <f>SUM(G55:G419)</f>
        <v>4.3799999999999628E-4</v>
      </c>
      <c r="H420" s="167"/>
      <c r="I420" s="167"/>
      <c r="J420" s="142"/>
      <c r="K420" s="164">
        <f>SUM(K55:K419)</f>
        <v>3.6500000000000237E-4</v>
      </c>
      <c r="L420" s="161" t="str">
        <f t="shared" si="43"/>
        <v xml:space="preserve"> </v>
      </c>
      <c r="M420" s="164">
        <f>SUM(M55:M419)</f>
        <v>3.6500000000000237E-4</v>
      </c>
      <c r="N420" s="164"/>
      <c r="W420" s="142"/>
      <c r="X420" s="142"/>
      <c r="Y420" s="142"/>
      <c r="Z420" s="142"/>
      <c r="AA420" s="142"/>
    </row>
    <row r="421" spans="2:27" s="141" customFormat="1" x14ac:dyDescent="0.2">
      <c r="D421" s="142"/>
      <c r="E421" s="142"/>
      <c r="F421" s="142"/>
      <c r="G421" s="142"/>
      <c r="H421" s="142"/>
      <c r="I421" s="142"/>
      <c r="J421" s="142"/>
      <c r="W421" s="142"/>
      <c r="X421" s="142"/>
      <c r="Y421" s="142"/>
      <c r="Z421" s="142"/>
      <c r="AA421" s="142"/>
    </row>
    <row r="422" spans="2:27" s="141" customFormat="1" x14ac:dyDescent="0.2">
      <c r="D422" s="142"/>
      <c r="E422" s="142"/>
      <c r="F422" s="142"/>
      <c r="G422" s="142"/>
      <c r="H422" s="142"/>
      <c r="I422" s="142"/>
      <c r="J422" s="167">
        <f>SUM(J55:J419)</f>
        <v>3.6500000000000237E-4</v>
      </c>
      <c r="W422" s="142"/>
      <c r="X422" s="142"/>
      <c r="Y422" s="142"/>
      <c r="Z422" s="142"/>
      <c r="AA422" s="142"/>
    </row>
    <row r="423" spans="2:27" s="141" customFormat="1" x14ac:dyDescent="0.2">
      <c r="D423" s="142"/>
      <c r="E423" s="142"/>
      <c r="F423" s="142"/>
      <c r="G423" s="142"/>
      <c r="H423" s="142"/>
      <c r="I423" s="168"/>
      <c r="J423" s="142">
        <f>COUNTIF(J55:J419,"&gt;0")</f>
        <v>365</v>
      </c>
      <c r="K423" s="168" t="s">
        <v>150</v>
      </c>
      <c r="W423" s="142"/>
      <c r="X423" s="142"/>
      <c r="Y423" s="142"/>
      <c r="Z423" s="142"/>
      <c r="AA423" s="142"/>
    </row>
    <row r="424" spans="2:27" s="141" customFormat="1" x14ac:dyDescent="0.2">
      <c r="D424" s="142"/>
      <c r="E424" s="142"/>
      <c r="F424" s="142"/>
      <c r="G424" s="142"/>
      <c r="H424" s="142"/>
      <c r="I424" s="168"/>
      <c r="J424" s="169">
        <f>J422/J423*365</f>
        <v>3.6500000000000237E-4</v>
      </c>
      <c r="K424" s="168" t="s">
        <v>151</v>
      </c>
      <c r="W424" s="142"/>
      <c r="X424" s="142"/>
      <c r="Y424" s="142"/>
      <c r="Z424" s="142"/>
      <c r="AA424" s="142"/>
    </row>
    <row r="425" spans="2:27" s="141" customFormat="1" x14ac:dyDescent="0.2">
      <c r="D425" s="142"/>
      <c r="E425" s="142"/>
      <c r="F425" s="142"/>
      <c r="G425" s="142"/>
      <c r="H425" s="142"/>
      <c r="I425" s="142"/>
      <c r="J425" s="142"/>
      <c r="W425" s="142"/>
      <c r="X425" s="142"/>
      <c r="Y425" s="142"/>
      <c r="Z425" s="142"/>
      <c r="AA425" s="142"/>
    </row>
    <row r="426" spans="2:27" s="141" customFormat="1" x14ac:dyDescent="0.2">
      <c r="D426" s="142"/>
      <c r="E426" s="142"/>
      <c r="F426" s="142"/>
      <c r="G426" s="142"/>
      <c r="H426" s="142"/>
      <c r="I426" s="142"/>
      <c r="J426" s="142"/>
      <c r="W426" s="142"/>
      <c r="X426" s="142"/>
      <c r="Y426" s="142"/>
      <c r="Z426" s="142"/>
      <c r="AA426" s="142"/>
    </row>
    <row r="427" spans="2:27" s="141" customFormat="1" x14ac:dyDescent="0.2">
      <c r="D427" s="142"/>
      <c r="E427" s="142"/>
      <c r="F427" s="142"/>
      <c r="G427" s="142"/>
      <c r="H427" s="142"/>
      <c r="I427" s="142"/>
      <c r="J427" s="142"/>
      <c r="W427" s="142"/>
      <c r="X427" s="142"/>
      <c r="Y427" s="142"/>
      <c r="Z427" s="142"/>
      <c r="AA427" s="142"/>
    </row>
    <row r="428" spans="2:27" s="141" customFormat="1" x14ac:dyDescent="0.2">
      <c r="D428" s="142"/>
      <c r="E428" s="142"/>
      <c r="F428" s="142"/>
      <c r="G428" s="142"/>
      <c r="H428" s="142"/>
      <c r="I428" s="142"/>
      <c r="J428" s="142"/>
      <c r="W428" s="142"/>
      <c r="X428" s="142"/>
      <c r="Y428" s="142"/>
      <c r="Z428" s="142"/>
      <c r="AA428" s="142"/>
    </row>
    <row r="429" spans="2:27" s="141" customFormat="1" x14ac:dyDescent="0.2">
      <c r="D429" s="142"/>
      <c r="E429" s="142"/>
      <c r="F429" s="142"/>
      <c r="G429" s="142"/>
      <c r="H429" s="142"/>
      <c r="I429" s="142"/>
      <c r="J429" s="142"/>
      <c r="W429" s="142"/>
      <c r="X429" s="142"/>
      <c r="Y429" s="142"/>
      <c r="Z429" s="142"/>
      <c r="AA429" s="142"/>
    </row>
    <row r="430" spans="2:27" s="141" customFormat="1" x14ac:dyDescent="0.2">
      <c r="D430" s="142"/>
      <c r="E430" s="142"/>
      <c r="F430" s="142"/>
      <c r="G430" s="142"/>
      <c r="H430" s="142"/>
      <c r="I430" s="142"/>
      <c r="J430" s="142"/>
      <c r="W430" s="142"/>
      <c r="X430" s="142"/>
      <c r="Y430" s="142"/>
      <c r="Z430" s="142"/>
      <c r="AA430" s="142"/>
    </row>
    <row r="431" spans="2:27" s="141" customFormat="1" x14ac:dyDescent="0.2">
      <c r="D431" s="142"/>
      <c r="E431" s="142"/>
      <c r="F431" s="142"/>
      <c r="G431" s="142"/>
      <c r="H431" s="142"/>
      <c r="I431" s="142"/>
      <c r="J431" s="142"/>
      <c r="W431" s="142"/>
      <c r="X431" s="142"/>
      <c r="Y431" s="142"/>
      <c r="Z431" s="142"/>
      <c r="AA431" s="142"/>
    </row>
    <row r="432" spans="2:27" s="141" customFormat="1" x14ac:dyDescent="0.2">
      <c r="D432" s="142"/>
      <c r="E432" s="142"/>
      <c r="F432" s="142"/>
      <c r="G432" s="142"/>
      <c r="H432" s="142"/>
      <c r="I432" s="142"/>
      <c r="J432" s="142"/>
      <c r="W432" s="142"/>
      <c r="X432" s="142"/>
      <c r="Y432" s="142"/>
      <c r="Z432" s="142"/>
      <c r="AA432" s="142"/>
    </row>
    <row r="433" spans="4:27" s="141" customFormat="1" x14ac:dyDescent="0.2">
      <c r="D433" s="142"/>
      <c r="E433" s="142"/>
      <c r="F433" s="142"/>
      <c r="G433" s="142"/>
      <c r="H433" s="142"/>
      <c r="I433" s="142"/>
      <c r="J433" s="142"/>
      <c r="W433" s="142"/>
      <c r="X433" s="142"/>
      <c r="Y433" s="142"/>
      <c r="Z433" s="142"/>
      <c r="AA433" s="142"/>
    </row>
    <row r="434" spans="4:27" s="141" customFormat="1" x14ac:dyDescent="0.2">
      <c r="D434" s="142"/>
      <c r="E434" s="142"/>
      <c r="F434" s="142"/>
      <c r="G434" s="142"/>
      <c r="H434" s="142"/>
      <c r="I434" s="142"/>
      <c r="J434" s="142"/>
      <c r="W434" s="142"/>
      <c r="X434" s="142"/>
      <c r="Y434" s="142"/>
      <c r="Z434" s="142"/>
      <c r="AA434" s="142"/>
    </row>
    <row r="435" spans="4:27" s="141" customFormat="1" x14ac:dyDescent="0.2">
      <c r="D435" s="142"/>
      <c r="E435" s="142"/>
      <c r="F435" s="142"/>
      <c r="G435" s="142"/>
      <c r="H435" s="142"/>
      <c r="I435" s="142"/>
      <c r="J435" s="142"/>
      <c r="W435" s="142"/>
      <c r="X435" s="142"/>
      <c r="Y435" s="142"/>
      <c r="Z435" s="142"/>
      <c r="AA435" s="142"/>
    </row>
    <row r="436" spans="4:27" s="141" customFormat="1" x14ac:dyDescent="0.2">
      <c r="D436" s="142"/>
      <c r="E436" s="142"/>
      <c r="F436" s="142"/>
      <c r="G436" s="142"/>
      <c r="H436" s="142"/>
      <c r="I436" s="142"/>
      <c r="J436" s="142"/>
      <c r="W436" s="142"/>
      <c r="X436" s="142"/>
      <c r="Y436" s="142"/>
      <c r="Z436" s="142"/>
      <c r="AA436" s="142"/>
    </row>
    <row r="437" spans="4:27" s="141" customFormat="1" x14ac:dyDescent="0.2">
      <c r="D437" s="142"/>
      <c r="E437" s="142"/>
      <c r="F437" s="142"/>
      <c r="G437" s="142"/>
      <c r="H437" s="142"/>
      <c r="I437" s="142"/>
      <c r="J437" s="142"/>
      <c r="W437" s="142"/>
      <c r="X437" s="142"/>
      <c r="Y437" s="142"/>
      <c r="Z437" s="142"/>
      <c r="AA437" s="142"/>
    </row>
    <row r="438" spans="4:27" s="141" customFormat="1" x14ac:dyDescent="0.2">
      <c r="D438" s="142"/>
      <c r="E438" s="142"/>
      <c r="F438" s="142"/>
      <c r="G438" s="142"/>
      <c r="H438" s="142"/>
      <c r="I438" s="142"/>
      <c r="J438" s="142"/>
      <c r="W438" s="142"/>
      <c r="X438" s="142"/>
      <c r="Y438" s="142"/>
      <c r="Z438" s="142"/>
      <c r="AA438" s="142"/>
    </row>
    <row r="439" spans="4:27" s="141" customFormat="1" x14ac:dyDescent="0.2">
      <c r="D439" s="142"/>
      <c r="E439" s="142"/>
      <c r="F439" s="142"/>
      <c r="G439" s="142"/>
      <c r="H439" s="142"/>
      <c r="I439" s="142"/>
      <c r="J439" s="142"/>
      <c r="W439" s="142"/>
      <c r="X439" s="142"/>
      <c r="Y439" s="142"/>
      <c r="Z439" s="142"/>
      <c r="AA439" s="142"/>
    </row>
    <row r="440" spans="4:27" s="141" customFormat="1" x14ac:dyDescent="0.2">
      <c r="D440" s="142"/>
      <c r="E440" s="142"/>
      <c r="F440" s="142"/>
      <c r="G440" s="142"/>
      <c r="H440" s="142"/>
      <c r="I440" s="142"/>
      <c r="J440" s="142"/>
      <c r="W440" s="142"/>
      <c r="X440" s="142"/>
      <c r="Y440" s="142"/>
      <c r="Z440" s="142"/>
      <c r="AA440" s="142"/>
    </row>
    <row r="441" spans="4:27" s="141" customFormat="1" x14ac:dyDescent="0.2">
      <c r="D441" s="142"/>
      <c r="E441" s="142"/>
      <c r="F441" s="142"/>
      <c r="G441" s="142"/>
      <c r="H441" s="142"/>
      <c r="I441" s="142"/>
      <c r="J441" s="142"/>
      <c r="W441" s="142"/>
      <c r="X441" s="142"/>
      <c r="Y441" s="142"/>
      <c r="Z441" s="142"/>
      <c r="AA441" s="142"/>
    </row>
    <row r="442" spans="4:27" s="141" customFormat="1" x14ac:dyDescent="0.2">
      <c r="D442" s="142"/>
      <c r="E442" s="142"/>
      <c r="F442" s="142"/>
      <c r="G442" s="142"/>
      <c r="H442" s="142"/>
      <c r="I442" s="142"/>
      <c r="J442" s="142"/>
      <c r="W442" s="142"/>
      <c r="X442" s="142"/>
      <c r="Y442" s="142"/>
      <c r="Z442" s="142"/>
      <c r="AA442" s="142"/>
    </row>
    <row r="443" spans="4:27" s="141" customFormat="1" x14ac:dyDescent="0.2">
      <c r="D443" s="142"/>
      <c r="E443" s="142"/>
      <c r="F443" s="142"/>
      <c r="G443" s="142"/>
      <c r="H443" s="142"/>
      <c r="I443" s="142"/>
      <c r="J443" s="142"/>
      <c r="W443" s="142"/>
      <c r="X443" s="142"/>
      <c r="Y443" s="142"/>
      <c r="Z443" s="142"/>
      <c r="AA443" s="142"/>
    </row>
    <row r="444" spans="4:27" s="141" customFormat="1" x14ac:dyDescent="0.2">
      <c r="D444" s="142"/>
      <c r="E444" s="142"/>
      <c r="F444" s="142"/>
      <c r="G444" s="142"/>
      <c r="H444" s="142"/>
      <c r="I444" s="142"/>
      <c r="J444" s="142"/>
      <c r="W444" s="142"/>
      <c r="X444" s="142"/>
      <c r="Y444" s="142"/>
      <c r="Z444" s="142"/>
      <c r="AA444" s="142"/>
    </row>
    <row r="445" spans="4:27" s="141" customFormat="1" x14ac:dyDescent="0.2">
      <c r="D445" s="142"/>
      <c r="E445" s="142"/>
      <c r="F445" s="142"/>
      <c r="G445" s="142"/>
      <c r="H445" s="142"/>
      <c r="I445" s="142"/>
      <c r="J445" s="142"/>
      <c r="W445" s="142"/>
      <c r="X445" s="142"/>
      <c r="Y445" s="142"/>
      <c r="Z445" s="142"/>
      <c r="AA445" s="142"/>
    </row>
    <row r="446" spans="4:27" x14ac:dyDescent="0.2">
      <c r="D446" s="25"/>
      <c r="E446" s="25"/>
      <c r="F446" s="25"/>
      <c r="G446" s="25"/>
      <c r="H446" s="25"/>
      <c r="I446" s="25"/>
      <c r="J446" s="25"/>
      <c r="K446" s="13"/>
      <c r="L446" s="13"/>
      <c r="M446" s="13"/>
      <c r="N446" s="13"/>
    </row>
    <row r="447" spans="4:27" x14ac:dyDescent="0.2">
      <c r="D447" s="25"/>
      <c r="E447" s="25"/>
      <c r="F447" s="25"/>
      <c r="G447" s="25"/>
      <c r="H447" s="25"/>
      <c r="I447" s="25"/>
      <c r="J447" s="25"/>
      <c r="K447" s="13"/>
      <c r="L447" s="13"/>
      <c r="M447" s="13"/>
      <c r="N447" s="13"/>
    </row>
    <row r="448" spans="4:27" x14ac:dyDescent="0.2">
      <c r="D448" s="25"/>
      <c r="E448" s="25"/>
      <c r="F448" s="25"/>
      <c r="G448" s="25"/>
      <c r="H448" s="25"/>
      <c r="I448" s="25"/>
      <c r="J448" s="25"/>
      <c r="K448" s="13"/>
      <c r="L448" s="13"/>
      <c r="M448" s="13"/>
      <c r="N448" s="13"/>
    </row>
    <row r="449" spans="4:14" x14ac:dyDescent="0.2">
      <c r="D449" s="25"/>
      <c r="E449" s="25"/>
      <c r="F449" s="25"/>
      <c r="G449" s="25"/>
      <c r="H449" s="25"/>
      <c r="I449" s="25"/>
      <c r="J449" s="25"/>
      <c r="K449" s="13"/>
      <c r="L449" s="13"/>
      <c r="M449" s="13"/>
      <c r="N449" s="13"/>
    </row>
    <row r="450" spans="4:14" x14ac:dyDescent="0.2">
      <c r="D450" s="25"/>
      <c r="E450" s="25"/>
      <c r="F450" s="25"/>
      <c r="G450" s="25"/>
      <c r="H450" s="25"/>
      <c r="I450" s="25"/>
      <c r="J450" s="25"/>
      <c r="K450" s="13"/>
      <c r="L450" s="13"/>
      <c r="M450" s="13"/>
      <c r="N450" s="13"/>
    </row>
    <row r="451" spans="4:14" x14ac:dyDescent="0.2">
      <c r="D451" s="25"/>
      <c r="E451" s="25"/>
      <c r="F451" s="25"/>
      <c r="G451" s="25"/>
      <c r="H451" s="25"/>
      <c r="I451" s="25"/>
      <c r="J451" s="25"/>
      <c r="K451" s="13"/>
      <c r="L451" s="13"/>
      <c r="M451" s="13"/>
      <c r="N451" s="13"/>
    </row>
    <row r="452" spans="4:14" x14ac:dyDescent="0.2">
      <c r="D452" s="25"/>
      <c r="E452" s="25"/>
      <c r="F452" s="25"/>
      <c r="G452" s="25"/>
      <c r="H452" s="25"/>
      <c r="I452" s="25"/>
      <c r="J452" s="25"/>
      <c r="K452" s="13"/>
      <c r="L452" s="13"/>
      <c r="M452" s="13"/>
      <c r="N452" s="13"/>
    </row>
    <row r="453" spans="4:14" x14ac:dyDescent="0.2">
      <c r="D453" s="25"/>
      <c r="E453" s="25"/>
      <c r="F453" s="25"/>
      <c r="G453" s="25"/>
      <c r="H453" s="25"/>
      <c r="I453" s="25"/>
      <c r="J453" s="25"/>
      <c r="K453" s="13"/>
      <c r="L453" s="13"/>
      <c r="M453" s="13"/>
      <c r="N453" s="13"/>
    </row>
    <row r="454" spans="4:14" x14ac:dyDescent="0.2">
      <c r="D454" s="25"/>
      <c r="E454" s="25"/>
      <c r="F454" s="25"/>
      <c r="G454" s="25"/>
      <c r="H454" s="25"/>
      <c r="I454" s="25"/>
      <c r="J454" s="25"/>
      <c r="K454" s="13"/>
      <c r="L454" s="13"/>
      <c r="M454" s="13"/>
      <c r="N454" s="13"/>
    </row>
    <row r="455" spans="4:14" x14ac:dyDescent="0.2">
      <c r="D455" s="25"/>
      <c r="E455" s="25"/>
      <c r="F455" s="25"/>
      <c r="G455" s="25"/>
      <c r="H455" s="25"/>
      <c r="I455" s="25"/>
      <c r="J455" s="25"/>
      <c r="K455" s="13"/>
      <c r="L455" s="13"/>
      <c r="M455" s="13"/>
      <c r="N455" s="13"/>
    </row>
    <row r="456" spans="4:14" x14ac:dyDescent="0.2">
      <c r="D456" s="25"/>
      <c r="E456" s="25"/>
      <c r="F456" s="25"/>
      <c r="G456" s="25"/>
      <c r="H456" s="25"/>
      <c r="I456" s="25"/>
      <c r="J456" s="25"/>
      <c r="K456" s="13"/>
      <c r="L456" s="13"/>
      <c r="M456" s="13"/>
      <c r="N456" s="13"/>
    </row>
    <row r="457" spans="4:14" x14ac:dyDescent="0.2">
      <c r="D457" s="25"/>
      <c r="E457" s="25"/>
      <c r="F457" s="25"/>
      <c r="G457" s="25"/>
      <c r="H457" s="25"/>
      <c r="I457" s="25"/>
      <c r="J457" s="25"/>
      <c r="K457" s="13"/>
      <c r="L457" s="13"/>
      <c r="M457" s="13"/>
      <c r="N457" s="13"/>
    </row>
    <row r="458" spans="4:14" x14ac:dyDescent="0.2">
      <c r="D458" s="25"/>
      <c r="E458" s="25"/>
      <c r="F458" s="25"/>
      <c r="G458" s="25"/>
      <c r="H458" s="25"/>
      <c r="I458" s="25"/>
      <c r="J458" s="25"/>
      <c r="K458" s="13"/>
      <c r="L458" s="13"/>
      <c r="M458" s="13"/>
      <c r="N458" s="13"/>
    </row>
    <row r="459" spans="4:14" x14ac:dyDescent="0.2">
      <c r="D459" s="25"/>
      <c r="E459" s="25"/>
      <c r="F459" s="25"/>
      <c r="G459" s="25"/>
      <c r="H459" s="25"/>
      <c r="I459" s="25"/>
      <c r="J459" s="25"/>
      <c r="K459" s="13"/>
      <c r="L459" s="13"/>
      <c r="M459" s="13"/>
      <c r="N459" s="13"/>
    </row>
    <row r="460" spans="4:14" x14ac:dyDescent="0.2">
      <c r="D460" s="25"/>
      <c r="E460" s="25"/>
      <c r="F460" s="25"/>
      <c r="G460" s="25"/>
      <c r="H460" s="25"/>
      <c r="I460" s="25"/>
      <c r="J460" s="25"/>
      <c r="K460" s="13"/>
      <c r="L460" s="13"/>
      <c r="M460" s="13"/>
      <c r="N460" s="13"/>
    </row>
    <row r="461" spans="4:14" x14ac:dyDescent="0.2">
      <c r="D461" s="25"/>
      <c r="E461" s="25"/>
      <c r="F461" s="25"/>
      <c r="G461" s="25"/>
      <c r="H461" s="25"/>
      <c r="I461" s="25"/>
      <c r="J461" s="25"/>
      <c r="K461" s="13"/>
      <c r="L461" s="13"/>
      <c r="M461" s="13"/>
      <c r="N461" s="13"/>
    </row>
    <row r="462" spans="4:14" x14ac:dyDescent="0.2">
      <c r="D462" s="25"/>
      <c r="E462" s="25"/>
      <c r="F462" s="25"/>
      <c r="G462" s="25"/>
      <c r="H462" s="25"/>
      <c r="I462" s="25"/>
      <c r="J462" s="25"/>
      <c r="K462" s="13"/>
      <c r="L462" s="13"/>
      <c r="M462" s="13"/>
      <c r="N462" s="13"/>
    </row>
    <row r="463" spans="4:14" x14ac:dyDescent="0.2">
      <c r="D463" s="25"/>
      <c r="E463" s="25"/>
      <c r="F463" s="25"/>
      <c r="G463" s="25"/>
      <c r="H463" s="25"/>
      <c r="I463" s="25"/>
      <c r="J463" s="25"/>
      <c r="K463" s="13"/>
      <c r="L463" s="13"/>
      <c r="M463" s="13"/>
      <c r="N463" s="13"/>
    </row>
    <row r="464" spans="4:14" x14ac:dyDescent="0.2">
      <c r="D464" s="25"/>
      <c r="E464" s="25"/>
      <c r="F464" s="25"/>
      <c r="G464" s="25"/>
      <c r="H464" s="25"/>
      <c r="I464" s="25"/>
      <c r="J464" s="25"/>
      <c r="K464" s="13"/>
      <c r="L464" s="13"/>
      <c r="M464" s="13"/>
      <c r="N464" s="13"/>
    </row>
    <row r="465" spans="4:14" x14ac:dyDescent="0.2">
      <c r="D465" s="25"/>
      <c r="E465" s="25"/>
      <c r="F465" s="25"/>
      <c r="G465" s="25"/>
      <c r="H465" s="25"/>
      <c r="I465" s="25"/>
      <c r="J465" s="25"/>
      <c r="K465" s="13"/>
      <c r="L465" s="13"/>
      <c r="M465" s="13"/>
      <c r="N465" s="13"/>
    </row>
    <row r="466" spans="4:14" x14ac:dyDescent="0.2">
      <c r="D466" s="25"/>
      <c r="E466" s="25"/>
      <c r="F466" s="25"/>
      <c r="G466" s="25"/>
      <c r="H466" s="25"/>
      <c r="I466" s="25"/>
      <c r="J466" s="25"/>
      <c r="K466" s="13"/>
      <c r="L466" s="13"/>
      <c r="M466" s="13"/>
      <c r="N466" s="13"/>
    </row>
    <row r="467" spans="4:14" x14ac:dyDescent="0.2">
      <c r="D467" s="25"/>
      <c r="E467" s="25"/>
      <c r="F467" s="25"/>
      <c r="G467" s="25"/>
      <c r="H467" s="25"/>
      <c r="I467" s="25"/>
      <c r="J467" s="25"/>
      <c r="K467" s="13"/>
      <c r="L467" s="13"/>
      <c r="M467" s="13"/>
      <c r="N467" s="13"/>
    </row>
    <row r="468" spans="4:14" x14ac:dyDescent="0.2">
      <c r="D468" s="25"/>
      <c r="E468" s="25"/>
      <c r="F468" s="25"/>
      <c r="G468" s="25"/>
      <c r="H468" s="25"/>
      <c r="I468" s="25"/>
      <c r="J468" s="25"/>
      <c r="K468" s="13"/>
      <c r="L468" s="13"/>
      <c r="M468" s="13"/>
      <c r="N468" s="13"/>
    </row>
    <row r="469" spans="4:14" x14ac:dyDescent="0.2">
      <c r="D469" s="25"/>
      <c r="E469" s="25"/>
      <c r="F469" s="25"/>
      <c r="G469" s="25"/>
      <c r="H469" s="25"/>
      <c r="I469" s="25"/>
      <c r="J469" s="25"/>
      <c r="K469" s="13"/>
      <c r="L469" s="13"/>
      <c r="M469" s="13"/>
      <c r="N469" s="13"/>
    </row>
    <row r="470" spans="4:14" x14ac:dyDescent="0.2">
      <c r="D470" s="25"/>
      <c r="E470" s="25"/>
      <c r="F470" s="25"/>
      <c r="G470" s="25"/>
      <c r="H470" s="25"/>
      <c r="I470" s="25"/>
      <c r="J470" s="25"/>
      <c r="K470" s="13"/>
      <c r="L470" s="13"/>
      <c r="M470" s="13"/>
      <c r="N470" s="13"/>
    </row>
    <row r="471" spans="4:14" x14ac:dyDescent="0.2">
      <c r="D471" s="25"/>
      <c r="E471" s="25"/>
      <c r="F471" s="25"/>
      <c r="G471" s="25"/>
      <c r="H471" s="25"/>
      <c r="I471" s="25"/>
      <c r="J471" s="25"/>
      <c r="K471" s="13"/>
      <c r="L471" s="13"/>
      <c r="M471" s="13"/>
      <c r="N471" s="13"/>
    </row>
    <row r="472" spans="4:14" x14ac:dyDescent="0.2">
      <c r="D472" s="25"/>
      <c r="E472" s="25"/>
      <c r="F472" s="25"/>
      <c r="G472" s="25"/>
      <c r="H472" s="25"/>
      <c r="I472" s="25"/>
      <c r="J472" s="25"/>
      <c r="K472" s="13"/>
      <c r="L472" s="13"/>
      <c r="M472" s="13"/>
      <c r="N472" s="13"/>
    </row>
    <row r="473" spans="4:14" x14ac:dyDescent="0.2">
      <c r="D473" s="25"/>
      <c r="E473" s="25"/>
      <c r="F473" s="25"/>
      <c r="G473" s="25"/>
      <c r="H473" s="25"/>
      <c r="I473" s="25"/>
      <c r="J473" s="25"/>
      <c r="K473" s="13"/>
      <c r="L473" s="13"/>
      <c r="M473" s="13"/>
      <c r="N473" s="13"/>
    </row>
    <row r="474" spans="4:14" x14ac:dyDescent="0.2">
      <c r="D474" s="25"/>
      <c r="E474" s="25"/>
      <c r="F474" s="25"/>
      <c r="G474" s="25"/>
      <c r="H474" s="25"/>
      <c r="I474" s="25"/>
      <c r="J474" s="25"/>
      <c r="K474" s="13"/>
      <c r="L474" s="13"/>
      <c r="M474" s="13"/>
      <c r="N474" s="13"/>
    </row>
    <row r="475" spans="4:14" x14ac:dyDescent="0.2">
      <c r="D475" s="25"/>
      <c r="E475" s="25"/>
      <c r="F475" s="25"/>
      <c r="G475" s="25"/>
      <c r="H475" s="25"/>
      <c r="I475" s="25"/>
      <c r="J475" s="25"/>
      <c r="K475" s="13"/>
      <c r="L475" s="13"/>
      <c r="M475" s="13"/>
      <c r="N475" s="13"/>
    </row>
    <row r="476" spans="4:14" x14ac:dyDescent="0.2">
      <c r="D476" s="25"/>
      <c r="E476" s="25"/>
      <c r="F476" s="25"/>
      <c r="G476" s="25"/>
      <c r="H476" s="25"/>
      <c r="I476" s="25"/>
      <c r="J476" s="25"/>
      <c r="K476" s="13"/>
      <c r="L476" s="13"/>
      <c r="M476" s="13"/>
      <c r="N476" s="13"/>
    </row>
    <row r="477" spans="4:14" x14ac:dyDescent="0.2">
      <c r="D477" s="25"/>
      <c r="E477" s="25"/>
      <c r="F477" s="25"/>
      <c r="G477" s="25"/>
      <c r="H477" s="25"/>
      <c r="I477" s="25"/>
      <c r="J477" s="25"/>
      <c r="K477" s="13"/>
      <c r="L477" s="13"/>
      <c r="M477" s="13"/>
      <c r="N477" s="13"/>
    </row>
    <row r="478" spans="4:14" x14ac:dyDescent="0.2">
      <c r="D478" s="25"/>
      <c r="E478" s="25"/>
      <c r="F478" s="25"/>
      <c r="G478" s="25"/>
      <c r="H478" s="25"/>
      <c r="I478" s="25"/>
      <c r="J478" s="25"/>
      <c r="K478" s="13"/>
      <c r="L478" s="13"/>
      <c r="M478" s="13"/>
      <c r="N478" s="13"/>
    </row>
    <row r="479" spans="4:14" x14ac:dyDescent="0.2">
      <c r="D479" s="25"/>
      <c r="E479" s="25"/>
      <c r="F479" s="25"/>
      <c r="G479" s="25"/>
      <c r="H479" s="25"/>
      <c r="I479" s="25"/>
      <c r="J479" s="25"/>
      <c r="K479" s="13"/>
      <c r="L479" s="13"/>
      <c r="M479" s="13"/>
      <c r="N479" s="13"/>
    </row>
    <row r="480" spans="4:14" x14ac:dyDescent="0.2">
      <c r="D480" s="25"/>
      <c r="E480" s="25"/>
      <c r="F480" s="25"/>
      <c r="G480" s="25"/>
      <c r="H480" s="25"/>
      <c r="I480" s="25"/>
      <c r="J480" s="25"/>
      <c r="K480" s="13"/>
      <c r="L480" s="13"/>
      <c r="M480" s="13"/>
      <c r="N480" s="13"/>
    </row>
    <row r="481" spans="4:14" x14ac:dyDescent="0.2">
      <c r="D481" s="25"/>
      <c r="E481" s="25"/>
      <c r="F481" s="25"/>
      <c r="G481" s="25"/>
      <c r="H481" s="25"/>
      <c r="I481" s="25"/>
      <c r="J481" s="25"/>
      <c r="K481" s="13"/>
      <c r="L481" s="13"/>
      <c r="M481" s="13"/>
      <c r="N481" s="13"/>
    </row>
    <row r="482" spans="4:14" x14ac:dyDescent="0.2">
      <c r="D482" s="25"/>
      <c r="E482" s="25"/>
      <c r="F482" s="25"/>
      <c r="G482" s="25"/>
      <c r="H482" s="25"/>
      <c r="I482" s="25"/>
      <c r="J482" s="25"/>
      <c r="K482" s="13"/>
      <c r="L482" s="13"/>
      <c r="M482" s="13"/>
      <c r="N482" s="13"/>
    </row>
    <row r="483" spans="4:14" x14ac:dyDescent="0.2">
      <c r="D483" s="25"/>
      <c r="E483" s="25"/>
      <c r="F483" s="25"/>
      <c r="G483" s="25"/>
      <c r="H483" s="25"/>
      <c r="I483" s="25"/>
      <c r="J483" s="25"/>
      <c r="K483" s="13"/>
      <c r="L483" s="13"/>
      <c r="M483" s="13"/>
      <c r="N483" s="13"/>
    </row>
    <row r="484" spans="4:14" x14ac:dyDescent="0.2">
      <c r="D484" s="25"/>
      <c r="E484" s="25"/>
      <c r="F484" s="25"/>
      <c r="G484" s="25"/>
      <c r="H484" s="25"/>
      <c r="I484" s="25"/>
      <c r="J484" s="25"/>
      <c r="K484" s="13"/>
      <c r="L484" s="13"/>
      <c r="M484" s="13"/>
      <c r="N484" s="13"/>
    </row>
    <row r="485" spans="4:14" x14ac:dyDescent="0.2">
      <c r="D485" s="25"/>
      <c r="E485" s="25"/>
      <c r="F485" s="25"/>
      <c r="G485" s="25"/>
      <c r="H485" s="25"/>
      <c r="I485" s="25"/>
      <c r="J485" s="25"/>
      <c r="K485" s="13"/>
      <c r="L485" s="13"/>
      <c r="M485" s="13"/>
      <c r="N485" s="13"/>
    </row>
    <row r="486" spans="4:14" x14ac:dyDescent="0.2">
      <c r="D486" s="25"/>
      <c r="E486" s="25"/>
      <c r="F486" s="25"/>
      <c r="G486" s="25"/>
      <c r="H486" s="25"/>
      <c r="I486" s="25"/>
      <c r="J486" s="25"/>
      <c r="K486" s="13"/>
      <c r="L486" s="13"/>
      <c r="M486" s="13"/>
      <c r="N486" s="13"/>
    </row>
    <row r="487" spans="4:14" x14ac:dyDescent="0.2">
      <c r="D487" s="25"/>
      <c r="E487" s="25"/>
      <c r="F487" s="25"/>
      <c r="G487" s="25"/>
      <c r="H487" s="25"/>
      <c r="I487" s="25"/>
      <c r="J487" s="25"/>
      <c r="K487" s="13"/>
      <c r="L487" s="13"/>
      <c r="M487" s="13"/>
      <c r="N487" s="13"/>
    </row>
    <row r="488" spans="4:14" x14ac:dyDescent="0.2">
      <c r="D488" s="25"/>
      <c r="E488" s="25"/>
      <c r="F488" s="25"/>
      <c r="G488" s="25"/>
      <c r="H488" s="25"/>
      <c r="I488" s="25"/>
      <c r="J488" s="25"/>
      <c r="K488" s="13"/>
      <c r="L488" s="13"/>
      <c r="M488" s="13"/>
      <c r="N488" s="13"/>
    </row>
    <row r="489" spans="4:14" x14ac:dyDescent="0.2">
      <c r="D489" s="25"/>
      <c r="E489" s="25"/>
      <c r="F489" s="25"/>
      <c r="G489" s="25"/>
      <c r="H489" s="25"/>
      <c r="I489" s="25"/>
      <c r="J489" s="25"/>
      <c r="K489" s="13"/>
      <c r="L489" s="13"/>
      <c r="M489" s="13"/>
      <c r="N489" s="13"/>
    </row>
    <row r="490" spans="4:14" x14ac:dyDescent="0.2">
      <c r="D490" s="25"/>
      <c r="E490" s="25"/>
      <c r="F490" s="25"/>
      <c r="G490" s="25"/>
      <c r="H490" s="25"/>
      <c r="I490" s="25"/>
      <c r="J490" s="25"/>
      <c r="K490" s="13"/>
      <c r="L490" s="13"/>
      <c r="M490" s="13"/>
      <c r="N490" s="13"/>
    </row>
    <row r="491" spans="4:14" x14ac:dyDescent="0.2">
      <c r="D491" s="25"/>
      <c r="E491" s="25"/>
      <c r="F491" s="25"/>
      <c r="G491" s="25"/>
      <c r="H491" s="25"/>
      <c r="I491" s="25"/>
      <c r="J491" s="25"/>
      <c r="K491" s="13"/>
      <c r="L491" s="13"/>
      <c r="M491" s="13"/>
      <c r="N491" s="13"/>
    </row>
    <row r="492" spans="4:14" x14ac:dyDescent="0.2">
      <c r="D492" s="25"/>
      <c r="E492" s="25"/>
      <c r="F492" s="25"/>
      <c r="G492" s="25"/>
      <c r="H492" s="25"/>
      <c r="I492" s="25"/>
      <c r="J492" s="25"/>
      <c r="K492" s="13"/>
      <c r="L492" s="13"/>
      <c r="M492" s="13"/>
      <c r="N492" s="13"/>
    </row>
    <row r="493" spans="4:14" x14ac:dyDescent="0.2">
      <c r="D493" s="25"/>
      <c r="E493" s="25"/>
      <c r="F493" s="25"/>
      <c r="G493" s="25"/>
      <c r="H493" s="25"/>
      <c r="I493" s="25"/>
      <c r="J493" s="25"/>
      <c r="K493" s="13"/>
      <c r="L493" s="13"/>
      <c r="M493" s="13"/>
      <c r="N493" s="13"/>
    </row>
    <row r="494" spans="4:14" x14ac:dyDescent="0.2">
      <c r="D494" s="25"/>
      <c r="E494" s="25"/>
      <c r="F494" s="25"/>
      <c r="G494" s="25"/>
      <c r="H494" s="25"/>
      <c r="I494" s="25"/>
      <c r="J494" s="25"/>
      <c r="K494" s="13"/>
      <c r="L494" s="13"/>
      <c r="M494" s="13"/>
      <c r="N494" s="13"/>
    </row>
    <row r="495" spans="4:14" x14ac:dyDescent="0.2">
      <c r="D495" s="25"/>
      <c r="E495" s="25"/>
      <c r="F495" s="25"/>
      <c r="G495" s="25"/>
      <c r="H495" s="25"/>
      <c r="I495" s="25"/>
      <c r="J495" s="25"/>
      <c r="K495" s="13"/>
      <c r="L495" s="13"/>
      <c r="M495" s="13"/>
      <c r="N495" s="13"/>
    </row>
    <row r="496" spans="4:14" x14ac:dyDescent="0.2">
      <c r="D496" s="25"/>
      <c r="E496" s="25"/>
      <c r="F496" s="25"/>
      <c r="G496" s="25"/>
      <c r="H496" s="25"/>
      <c r="I496" s="25"/>
      <c r="J496" s="25"/>
      <c r="K496" s="13"/>
      <c r="L496" s="13"/>
      <c r="M496" s="13"/>
      <c r="N496" s="13"/>
    </row>
    <row r="497" spans="4:14" x14ac:dyDescent="0.2">
      <c r="D497" s="25"/>
      <c r="E497" s="25"/>
      <c r="F497" s="25"/>
      <c r="G497" s="25"/>
      <c r="H497" s="25"/>
      <c r="I497" s="25"/>
      <c r="J497" s="25"/>
      <c r="K497" s="13"/>
      <c r="L497" s="13"/>
      <c r="M497" s="13"/>
      <c r="N497" s="13"/>
    </row>
    <row r="498" spans="4:14" x14ac:dyDescent="0.2">
      <c r="D498" s="25"/>
      <c r="E498" s="25"/>
      <c r="F498" s="25"/>
      <c r="G498" s="25"/>
      <c r="H498" s="25"/>
      <c r="I498" s="25"/>
      <c r="J498" s="25"/>
      <c r="K498" s="13"/>
      <c r="L498" s="13"/>
      <c r="M498" s="13"/>
      <c r="N498" s="13"/>
    </row>
    <row r="499" spans="4:14" x14ac:dyDescent="0.2">
      <c r="D499" s="25"/>
      <c r="E499" s="25"/>
      <c r="F499" s="25"/>
      <c r="G499" s="25"/>
      <c r="H499" s="25"/>
      <c r="I499" s="25"/>
      <c r="J499" s="25"/>
      <c r="K499" s="13"/>
      <c r="L499" s="13"/>
      <c r="M499" s="13"/>
      <c r="N499" s="13"/>
    </row>
    <row r="500" spans="4:14" x14ac:dyDescent="0.2">
      <c r="D500" s="25"/>
      <c r="E500" s="25"/>
      <c r="F500" s="25"/>
      <c r="G500" s="25"/>
      <c r="H500" s="25"/>
      <c r="I500" s="25"/>
      <c r="J500" s="25"/>
      <c r="K500" s="13"/>
      <c r="L500" s="13"/>
      <c r="M500" s="13"/>
      <c r="N500" s="13"/>
    </row>
    <row r="501" spans="4:14" x14ac:dyDescent="0.2">
      <c r="D501" s="25"/>
      <c r="E501" s="25"/>
      <c r="F501" s="25"/>
      <c r="G501" s="25"/>
      <c r="H501" s="25"/>
      <c r="I501" s="25"/>
      <c r="J501" s="25"/>
      <c r="K501" s="13"/>
      <c r="L501" s="13"/>
      <c r="M501" s="13"/>
      <c r="N501" s="13"/>
    </row>
    <row r="502" spans="4:14" x14ac:dyDescent="0.2">
      <c r="D502" s="25"/>
      <c r="E502" s="25"/>
      <c r="F502" s="25"/>
      <c r="G502" s="25"/>
      <c r="H502" s="25"/>
      <c r="I502" s="25"/>
      <c r="J502" s="25"/>
      <c r="K502" s="13"/>
      <c r="L502" s="13"/>
      <c r="M502" s="13"/>
      <c r="N502" s="13"/>
    </row>
    <row r="503" spans="4:14" x14ac:dyDescent="0.2">
      <c r="D503" s="25"/>
      <c r="E503" s="25"/>
      <c r="F503" s="25"/>
      <c r="G503" s="25"/>
      <c r="H503" s="25"/>
      <c r="I503" s="25"/>
      <c r="J503" s="25"/>
      <c r="K503" s="13"/>
      <c r="L503" s="13"/>
      <c r="M503" s="13"/>
      <c r="N503" s="13"/>
    </row>
    <row r="504" spans="4:14" x14ac:dyDescent="0.2">
      <c r="D504" s="25"/>
      <c r="E504" s="25"/>
      <c r="F504" s="25"/>
      <c r="G504" s="25"/>
      <c r="H504" s="25"/>
      <c r="I504" s="25"/>
      <c r="J504" s="25"/>
      <c r="K504" s="13"/>
      <c r="L504" s="13"/>
      <c r="M504" s="13"/>
      <c r="N504" s="13"/>
    </row>
    <row r="505" spans="4:14" x14ac:dyDescent="0.2">
      <c r="D505" s="25"/>
      <c r="E505" s="25"/>
      <c r="F505" s="25"/>
      <c r="G505" s="25"/>
      <c r="H505" s="25"/>
      <c r="I505" s="25"/>
      <c r="J505" s="25"/>
      <c r="K505" s="13"/>
      <c r="L505" s="13"/>
      <c r="M505" s="13"/>
      <c r="N505" s="13"/>
    </row>
    <row r="506" spans="4:14" x14ac:dyDescent="0.2">
      <c r="D506" s="25"/>
      <c r="E506" s="25"/>
      <c r="F506" s="25"/>
      <c r="G506" s="25"/>
      <c r="H506" s="25"/>
      <c r="I506" s="25"/>
      <c r="J506" s="25"/>
      <c r="K506" s="13"/>
      <c r="L506" s="13"/>
      <c r="M506" s="13"/>
      <c r="N506" s="13"/>
    </row>
    <row r="507" spans="4:14" x14ac:dyDescent="0.2">
      <c r="D507" s="25"/>
      <c r="E507" s="25"/>
      <c r="F507" s="25"/>
      <c r="G507" s="25"/>
      <c r="H507" s="25"/>
      <c r="I507" s="25"/>
      <c r="J507" s="25"/>
      <c r="K507" s="13"/>
      <c r="L507" s="13"/>
      <c r="M507" s="13"/>
      <c r="N507" s="13"/>
    </row>
    <row r="508" spans="4:14" x14ac:dyDescent="0.2">
      <c r="D508" s="25"/>
      <c r="E508" s="25"/>
      <c r="F508" s="25"/>
      <c r="G508" s="25"/>
      <c r="H508" s="25"/>
      <c r="I508" s="25"/>
      <c r="J508" s="25"/>
      <c r="K508" s="13"/>
      <c r="L508" s="13"/>
      <c r="M508" s="13"/>
      <c r="N508" s="13"/>
    </row>
    <row r="509" spans="4:14" x14ac:dyDescent="0.2">
      <c r="D509" s="25"/>
      <c r="E509" s="25"/>
      <c r="F509" s="25"/>
      <c r="G509" s="25"/>
      <c r="H509" s="25"/>
      <c r="I509" s="25"/>
      <c r="J509" s="25"/>
      <c r="K509" s="13"/>
      <c r="L509" s="13"/>
      <c r="M509" s="13"/>
      <c r="N509" s="13"/>
    </row>
    <row r="510" spans="4:14" x14ac:dyDescent="0.2">
      <c r="D510" s="25"/>
      <c r="E510" s="25"/>
      <c r="F510" s="25"/>
      <c r="G510" s="25"/>
      <c r="H510" s="25"/>
      <c r="I510" s="25"/>
      <c r="J510" s="25"/>
      <c r="K510" s="13"/>
      <c r="L510" s="13"/>
      <c r="M510" s="13"/>
      <c r="N510" s="13"/>
    </row>
    <row r="511" spans="4:14" x14ac:dyDescent="0.2">
      <c r="D511" s="25"/>
      <c r="E511" s="25"/>
      <c r="F511" s="25"/>
      <c r="G511" s="25"/>
      <c r="H511" s="25"/>
      <c r="I511" s="25"/>
      <c r="J511" s="25"/>
      <c r="K511" s="13"/>
      <c r="L511" s="13"/>
      <c r="M511" s="13"/>
      <c r="N511" s="13"/>
    </row>
    <row r="512" spans="4:14" x14ac:dyDescent="0.2">
      <c r="D512" s="25"/>
      <c r="E512" s="25"/>
      <c r="F512" s="25"/>
      <c r="G512" s="25"/>
      <c r="H512" s="25"/>
      <c r="I512" s="25"/>
      <c r="J512" s="25"/>
      <c r="K512" s="13"/>
      <c r="L512" s="13"/>
      <c r="M512" s="13"/>
      <c r="N512" s="13"/>
    </row>
    <row r="513" spans="4:14" x14ac:dyDescent="0.2">
      <c r="D513" s="25"/>
      <c r="E513" s="25"/>
      <c r="F513" s="25"/>
      <c r="G513" s="25"/>
      <c r="H513" s="25"/>
      <c r="I513" s="25"/>
      <c r="J513" s="25"/>
      <c r="K513" s="13"/>
      <c r="L513" s="13"/>
      <c r="M513" s="13"/>
      <c r="N513" s="13"/>
    </row>
    <row r="514" spans="4:14" x14ac:dyDescent="0.2">
      <c r="D514" s="25"/>
      <c r="E514" s="25"/>
      <c r="F514" s="25"/>
      <c r="G514" s="25"/>
      <c r="H514" s="25"/>
      <c r="I514" s="25"/>
      <c r="J514" s="25"/>
      <c r="K514" s="13"/>
      <c r="L514" s="13"/>
      <c r="M514" s="13"/>
      <c r="N514" s="13"/>
    </row>
    <row r="515" spans="4:14" x14ac:dyDescent="0.2">
      <c r="D515" s="25"/>
      <c r="E515" s="25"/>
      <c r="F515" s="25"/>
      <c r="G515" s="25"/>
      <c r="H515" s="25"/>
      <c r="I515" s="25"/>
      <c r="J515" s="25"/>
      <c r="K515" s="13"/>
      <c r="L515" s="13"/>
      <c r="M515" s="13"/>
      <c r="N515" s="13"/>
    </row>
    <row r="516" spans="4:14" x14ac:dyDescent="0.2">
      <c r="D516" s="25"/>
      <c r="E516" s="25"/>
      <c r="F516" s="25"/>
      <c r="G516" s="25"/>
      <c r="H516" s="25"/>
      <c r="I516" s="25"/>
      <c r="J516" s="25"/>
      <c r="K516" s="13"/>
      <c r="L516" s="13"/>
      <c r="M516" s="13"/>
      <c r="N516" s="13"/>
    </row>
    <row r="517" spans="4:14" x14ac:dyDescent="0.2">
      <c r="D517" s="25"/>
      <c r="E517" s="25"/>
      <c r="F517" s="25"/>
      <c r="G517" s="25"/>
      <c r="H517" s="25"/>
      <c r="I517" s="25"/>
      <c r="J517" s="25"/>
      <c r="K517" s="13"/>
      <c r="L517" s="13"/>
      <c r="M517" s="13"/>
      <c r="N517" s="13"/>
    </row>
    <row r="518" spans="4:14" x14ac:dyDescent="0.2">
      <c r="D518" s="25"/>
      <c r="E518" s="25"/>
      <c r="F518" s="25"/>
      <c r="G518" s="25"/>
      <c r="H518" s="25"/>
      <c r="I518" s="25"/>
      <c r="J518" s="25"/>
      <c r="K518" s="13"/>
      <c r="L518" s="13"/>
      <c r="M518" s="13"/>
      <c r="N518" s="13"/>
    </row>
    <row r="519" spans="4:14" x14ac:dyDescent="0.2">
      <c r="D519" s="25"/>
      <c r="E519" s="25"/>
      <c r="F519" s="25"/>
      <c r="G519" s="25"/>
      <c r="H519" s="25"/>
      <c r="I519" s="25"/>
      <c r="J519" s="25"/>
      <c r="K519" s="13"/>
      <c r="L519" s="13"/>
      <c r="M519" s="13"/>
      <c r="N519" s="13"/>
    </row>
    <row r="520" spans="4:14" x14ac:dyDescent="0.2">
      <c r="D520" s="25"/>
      <c r="E520" s="25"/>
      <c r="F520" s="25"/>
      <c r="G520" s="25"/>
      <c r="H520" s="25"/>
      <c r="I520" s="25"/>
      <c r="J520" s="25"/>
      <c r="K520" s="13"/>
      <c r="L520" s="13"/>
      <c r="M520" s="13"/>
      <c r="N520" s="13"/>
    </row>
    <row r="521" spans="4:14" x14ac:dyDescent="0.2">
      <c r="D521" s="25"/>
      <c r="E521" s="25"/>
      <c r="F521" s="25"/>
      <c r="G521" s="25"/>
      <c r="H521" s="25"/>
      <c r="I521" s="25"/>
      <c r="J521" s="25"/>
      <c r="K521" s="13"/>
      <c r="L521" s="13"/>
      <c r="M521" s="13"/>
      <c r="N521" s="13"/>
    </row>
    <row r="522" spans="4:14" x14ac:dyDescent="0.2">
      <c r="D522" s="25"/>
      <c r="E522" s="25"/>
      <c r="F522" s="25"/>
      <c r="G522" s="25"/>
      <c r="H522" s="25"/>
      <c r="I522" s="25"/>
      <c r="J522" s="25"/>
      <c r="K522" s="13"/>
      <c r="L522" s="13"/>
      <c r="M522" s="13"/>
      <c r="N522" s="13"/>
    </row>
    <row r="523" spans="4:14" x14ac:dyDescent="0.2">
      <c r="D523" s="25"/>
      <c r="E523" s="25"/>
      <c r="F523" s="25"/>
      <c r="G523" s="25"/>
      <c r="H523" s="25"/>
      <c r="I523" s="25"/>
      <c r="J523" s="25"/>
      <c r="K523" s="13"/>
      <c r="L523" s="13"/>
      <c r="M523" s="13"/>
      <c r="N523" s="13"/>
    </row>
    <row r="524" spans="4:14" x14ac:dyDescent="0.2">
      <c r="D524" s="25"/>
      <c r="E524" s="25"/>
      <c r="F524" s="25"/>
      <c r="G524" s="25"/>
      <c r="H524" s="25"/>
      <c r="I524" s="25"/>
      <c r="J524" s="25"/>
      <c r="K524" s="13"/>
      <c r="L524" s="13"/>
      <c r="M524" s="13"/>
      <c r="N524" s="13"/>
    </row>
    <row r="525" spans="4:14" x14ac:dyDescent="0.2">
      <c r="D525" s="25"/>
      <c r="E525" s="25"/>
      <c r="F525" s="25"/>
      <c r="G525" s="25"/>
      <c r="H525" s="25"/>
      <c r="I525" s="25"/>
      <c r="J525" s="25"/>
      <c r="K525" s="13"/>
      <c r="L525" s="13"/>
      <c r="M525" s="13"/>
      <c r="N525" s="13"/>
    </row>
    <row r="526" spans="4:14" x14ac:dyDescent="0.2">
      <c r="D526" s="25"/>
      <c r="E526" s="25"/>
      <c r="F526" s="25"/>
      <c r="G526" s="25"/>
      <c r="H526" s="25"/>
      <c r="I526" s="25"/>
      <c r="J526" s="25"/>
      <c r="K526" s="13"/>
      <c r="L526" s="13"/>
      <c r="M526" s="13"/>
      <c r="N526" s="13"/>
    </row>
    <row r="527" spans="4:14" x14ac:dyDescent="0.2">
      <c r="D527" s="25"/>
      <c r="E527" s="25"/>
      <c r="F527" s="25"/>
      <c r="G527" s="25"/>
      <c r="H527" s="25"/>
      <c r="I527" s="25"/>
      <c r="J527" s="25"/>
      <c r="K527" s="13"/>
      <c r="L527" s="13"/>
      <c r="M527" s="13"/>
      <c r="N527" s="13"/>
    </row>
    <row r="528" spans="4:14" x14ac:dyDescent="0.2">
      <c r="D528" s="25"/>
      <c r="E528" s="25"/>
      <c r="F528" s="25"/>
      <c r="G528" s="25"/>
      <c r="H528" s="25"/>
      <c r="I528" s="25"/>
      <c r="J528" s="25"/>
      <c r="K528" s="13"/>
      <c r="L528" s="13"/>
      <c r="M528" s="13"/>
      <c r="N528" s="13"/>
    </row>
    <row r="529" spans="4:14" x14ac:dyDescent="0.2">
      <c r="D529" s="25"/>
      <c r="E529" s="25"/>
      <c r="F529" s="25"/>
      <c r="G529" s="25"/>
      <c r="H529" s="25"/>
      <c r="I529" s="25"/>
      <c r="J529" s="25"/>
      <c r="K529" s="13"/>
      <c r="L529" s="13"/>
      <c r="M529" s="13"/>
      <c r="N529" s="13"/>
    </row>
    <row r="530" spans="4:14" x14ac:dyDescent="0.2">
      <c r="D530" s="25"/>
      <c r="E530" s="25"/>
      <c r="F530" s="25"/>
      <c r="G530" s="25"/>
      <c r="H530" s="25"/>
      <c r="I530" s="25"/>
      <c r="J530" s="25"/>
      <c r="K530" s="13"/>
      <c r="L530" s="13"/>
      <c r="M530" s="13"/>
      <c r="N530" s="13"/>
    </row>
    <row r="531" spans="4:14" x14ac:dyDescent="0.2">
      <c r="D531" s="25"/>
      <c r="E531" s="25"/>
      <c r="F531" s="25"/>
      <c r="G531" s="25"/>
      <c r="H531" s="25"/>
      <c r="I531" s="25"/>
      <c r="J531" s="25"/>
      <c r="K531" s="13"/>
      <c r="L531" s="13"/>
      <c r="M531" s="13"/>
      <c r="N531" s="13"/>
    </row>
    <row r="532" spans="4:14" x14ac:dyDescent="0.2">
      <c r="D532" s="25"/>
      <c r="E532" s="25"/>
      <c r="F532" s="25"/>
      <c r="G532" s="25"/>
      <c r="H532" s="25"/>
      <c r="I532" s="25"/>
      <c r="J532" s="25"/>
      <c r="K532" s="13"/>
      <c r="L532" s="13"/>
      <c r="M532" s="13"/>
      <c r="N532" s="13"/>
    </row>
    <row r="533" spans="4:14" x14ac:dyDescent="0.2">
      <c r="D533" s="25"/>
      <c r="E533" s="25"/>
      <c r="F533" s="25"/>
      <c r="G533" s="25"/>
      <c r="H533" s="25"/>
      <c r="I533" s="25"/>
      <c r="J533" s="25"/>
      <c r="K533" s="13"/>
      <c r="L533" s="13"/>
      <c r="M533" s="13"/>
      <c r="N533" s="13"/>
    </row>
    <row r="534" spans="4:14" x14ac:dyDescent="0.2">
      <c r="D534" s="25"/>
      <c r="E534" s="25"/>
      <c r="F534" s="25"/>
      <c r="G534" s="25"/>
      <c r="H534" s="25"/>
      <c r="I534" s="25"/>
      <c r="J534" s="25"/>
      <c r="K534" s="13"/>
      <c r="L534" s="13"/>
      <c r="M534" s="13"/>
      <c r="N534" s="13"/>
    </row>
    <row r="535" spans="4:14" x14ac:dyDescent="0.2">
      <c r="D535" s="25"/>
      <c r="E535" s="25"/>
      <c r="F535" s="25"/>
      <c r="G535" s="25"/>
      <c r="H535" s="25"/>
      <c r="I535" s="25"/>
      <c r="J535" s="25"/>
      <c r="K535" s="13"/>
      <c r="L535" s="13"/>
      <c r="M535" s="13"/>
      <c r="N535" s="13"/>
    </row>
    <row r="536" spans="4:14" x14ac:dyDescent="0.2">
      <c r="D536" s="25"/>
      <c r="E536" s="25"/>
      <c r="F536" s="25"/>
      <c r="G536" s="25"/>
      <c r="H536" s="25"/>
      <c r="I536" s="25"/>
      <c r="J536" s="25"/>
      <c r="K536" s="13"/>
      <c r="L536" s="13"/>
      <c r="M536" s="13"/>
      <c r="N536" s="13"/>
    </row>
    <row r="537" spans="4:14" x14ac:dyDescent="0.2">
      <c r="D537" s="25"/>
      <c r="E537" s="25"/>
      <c r="F537" s="25"/>
      <c r="G537" s="25"/>
      <c r="H537" s="25"/>
      <c r="I537" s="25"/>
      <c r="J537" s="25"/>
      <c r="K537" s="13"/>
      <c r="L537" s="13"/>
      <c r="M537" s="13"/>
      <c r="N537" s="13"/>
    </row>
    <row r="538" spans="4:14" x14ac:dyDescent="0.2">
      <c r="D538" s="25"/>
      <c r="E538" s="25"/>
      <c r="F538" s="25"/>
      <c r="G538" s="25"/>
      <c r="H538" s="25"/>
      <c r="I538" s="25"/>
      <c r="J538" s="25"/>
      <c r="K538" s="13"/>
      <c r="L538" s="13"/>
      <c r="M538" s="13"/>
      <c r="N538" s="13"/>
    </row>
    <row r="539" spans="4:14" x14ac:dyDescent="0.2">
      <c r="D539" s="25"/>
      <c r="E539" s="25"/>
      <c r="F539" s="25"/>
      <c r="G539" s="25"/>
      <c r="H539" s="25"/>
      <c r="I539" s="25"/>
      <c r="J539" s="25"/>
      <c r="K539" s="13"/>
      <c r="L539" s="13"/>
      <c r="M539" s="13"/>
      <c r="N539" s="13"/>
    </row>
    <row r="540" spans="4:14" x14ac:dyDescent="0.2">
      <c r="D540" s="25"/>
      <c r="E540" s="25"/>
      <c r="F540" s="25"/>
      <c r="G540" s="25"/>
      <c r="H540" s="25"/>
      <c r="I540" s="25"/>
      <c r="J540" s="25"/>
      <c r="K540" s="13"/>
      <c r="L540" s="13"/>
      <c r="M540" s="13"/>
      <c r="N540" s="13"/>
    </row>
    <row r="541" spans="4:14" x14ac:dyDescent="0.2">
      <c r="D541" s="25"/>
      <c r="E541" s="25"/>
      <c r="F541" s="25"/>
      <c r="G541" s="25"/>
      <c r="H541" s="25"/>
      <c r="I541" s="25"/>
      <c r="J541" s="25"/>
      <c r="K541" s="13"/>
      <c r="L541" s="13"/>
      <c r="M541" s="13"/>
      <c r="N541" s="13"/>
    </row>
    <row r="542" spans="4:14" x14ac:dyDescent="0.2">
      <c r="D542" s="25"/>
      <c r="E542" s="25"/>
      <c r="F542" s="25"/>
      <c r="G542" s="25"/>
      <c r="H542" s="25"/>
      <c r="I542" s="25"/>
      <c r="J542" s="25"/>
      <c r="K542" s="13"/>
      <c r="L542" s="13"/>
      <c r="M542" s="13"/>
      <c r="N542" s="13"/>
    </row>
  </sheetData>
  <sheetProtection algorithmName="SHA-512" hashValue="RmveX8J62xFhd/fsU5N5vOG+8dly3YBdGsxsZ6c6PvCn8KXF0QeVeNLUs8okoxUdpW7wDgejUARuL+q6akHnow==" saltValue="sZziepRzLA+Q+xRo4ZH8xA==" spinCount="100000" sheet="1" objects="1" scenarios="1"/>
  <mergeCells count="12">
    <mergeCell ref="V15:V16"/>
    <mergeCell ref="C45:O45"/>
    <mergeCell ref="C46:O46"/>
    <mergeCell ref="B15:B17"/>
    <mergeCell ref="C15:C17"/>
    <mergeCell ref="K52:L52"/>
    <mergeCell ref="M52:O52"/>
    <mergeCell ref="D50:D51"/>
    <mergeCell ref="E50:E51"/>
    <mergeCell ref="F50:F51"/>
    <mergeCell ref="K50:O51"/>
    <mergeCell ref="J50:J5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Header xml:space="preserve">&amp;L
</oddHeader>
    <oddFooter>&amp;L&amp;F&amp;C&amp;A&amp;R&amp;D</oddFooter>
  </headerFooter>
  <ignoredErrors>
    <ignoredError sqref="O16:O17"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B1:Z385"/>
  <sheetViews>
    <sheetView showGridLines="0" zoomScale="80" zoomScaleNormal="80" workbookViewId="0"/>
  </sheetViews>
  <sheetFormatPr baseColWidth="10" defaultRowHeight="12.75" x14ac:dyDescent="0.2"/>
  <cols>
    <col min="1" max="1" width="1.7109375" customWidth="1"/>
    <col min="2" max="2" width="19.140625" customWidth="1"/>
    <col min="3" max="3" width="9.140625" customWidth="1"/>
    <col min="4" max="4" width="11.5703125" customWidth="1"/>
    <col min="5" max="5" width="14.85546875" customWidth="1"/>
    <col min="6" max="6" width="5.140625" customWidth="1"/>
    <col min="7" max="7" width="18.85546875" customWidth="1"/>
    <col min="8" max="8" width="12.28515625" customWidth="1"/>
    <col min="9" max="9" width="14.85546875" style="2" customWidth="1"/>
    <col min="10" max="10" width="16" style="2" customWidth="1"/>
    <col min="11" max="12" width="6.42578125" customWidth="1"/>
    <col min="13" max="13" width="7.5703125" customWidth="1"/>
    <col min="14" max="16" width="6.42578125" customWidth="1"/>
    <col min="17" max="17" width="10.42578125" style="170" customWidth="1"/>
    <col min="18" max="18" width="1.5703125" style="170" customWidth="1"/>
    <col min="19" max="19" width="4.140625" style="489" customWidth="1"/>
    <col min="20" max="20" width="7.7109375" style="488" customWidth="1"/>
    <col min="21" max="21" width="10.140625" style="489" customWidth="1"/>
    <col min="22" max="22" width="7.85546875" style="490" customWidth="1"/>
    <col min="23" max="23" width="8.85546875" style="490" customWidth="1"/>
    <col min="24" max="25" width="11.42578125" style="490"/>
    <col min="26" max="26" width="11.42578125" style="487"/>
  </cols>
  <sheetData>
    <row r="1" spans="2:25" ht="15.75" customHeight="1" x14ac:dyDescent="0.2"/>
    <row r="2" spans="2:25" ht="20.25" x14ac:dyDescent="0.3">
      <c r="B2" s="303" t="str">
        <f>'JSM Eingabe+TW'!B2</f>
        <v>Ergebnisse der Selbstüberwachung</v>
      </c>
      <c r="C2" s="278"/>
      <c r="D2" s="278"/>
      <c r="E2" s="278"/>
      <c r="F2" s="278"/>
      <c r="G2" s="278"/>
      <c r="H2" s="278"/>
      <c r="I2" s="278"/>
      <c r="J2" s="278"/>
      <c r="K2" s="278"/>
      <c r="L2" s="278"/>
      <c r="M2" s="278"/>
      <c r="N2" s="278"/>
      <c r="O2" s="278"/>
      <c r="P2" s="280" t="s">
        <v>227</v>
      </c>
      <c r="Q2" s="818" t="str">
        <f>IF(LEN('JSM Eingabe+TW'!AB7)&gt;0,'JSM Eingabe+TW'!AB7,"")</f>
        <v/>
      </c>
      <c r="R2" s="316"/>
      <c r="S2" s="499"/>
      <c r="T2" s="491"/>
    </row>
    <row r="3" spans="2:25" ht="11.25" customHeight="1" x14ac:dyDescent="0.25">
      <c r="B3" s="278"/>
      <c r="C3" s="278"/>
      <c r="D3" s="278"/>
      <c r="E3" s="278"/>
      <c r="F3" s="278"/>
      <c r="G3" s="278"/>
      <c r="H3" s="278"/>
      <c r="I3" s="278"/>
      <c r="J3" s="278"/>
      <c r="K3" s="278"/>
      <c r="L3" s="278"/>
      <c r="M3" s="278"/>
      <c r="N3" s="278"/>
      <c r="O3" s="278"/>
      <c r="P3" s="278"/>
      <c r="Q3" s="281"/>
      <c r="R3" s="294"/>
      <c r="S3" s="499"/>
      <c r="T3" s="491"/>
    </row>
    <row r="4" spans="2:25" ht="8.25" customHeight="1" x14ac:dyDescent="0.25">
      <c r="B4" s="278"/>
      <c r="C4" s="278"/>
      <c r="D4" s="278"/>
      <c r="E4" s="278"/>
      <c r="F4" s="278"/>
      <c r="G4" s="278"/>
      <c r="H4" s="278"/>
      <c r="I4" s="278"/>
      <c r="J4" s="278"/>
      <c r="K4" s="278"/>
      <c r="L4" s="278"/>
      <c r="M4" s="278"/>
      <c r="N4" s="278"/>
      <c r="O4" s="278"/>
      <c r="P4" s="278"/>
      <c r="Q4" s="281"/>
      <c r="R4" s="281"/>
      <c r="S4" s="499"/>
      <c r="T4" s="491"/>
    </row>
    <row r="5" spans="2:25" ht="20.25" x14ac:dyDescent="0.3">
      <c r="B5" s="276" t="str">
        <f>'JSM Eingabe+TW'!B5</f>
        <v>Ermittlung der Jahresschmutzwassermenge (JSM) und des Fremdwassers (QF)</v>
      </c>
      <c r="C5" s="282"/>
      <c r="D5" s="283"/>
      <c r="E5" s="283"/>
      <c r="F5" s="284"/>
      <c r="G5" s="284"/>
      <c r="H5" s="284"/>
      <c r="I5" s="284"/>
      <c r="J5" s="284"/>
      <c r="K5" s="284"/>
      <c r="L5" s="284"/>
      <c r="M5" s="284"/>
      <c r="N5" s="284"/>
      <c r="O5" s="284"/>
      <c r="P5" s="284"/>
      <c r="Q5" s="302" t="s">
        <v>239</v>
      </c>
      <c r="S5" s="500"/>
      <c r="T5" s="491"/>
    </row>
    <row r="6" spans="2:25" ht="5.25" customHeight="1" x14ac:dyDescent="0.2">
      <c r="B6" s="289"/>
      <c r="C6" s="290"/>
      <c r="D6" s="291"/>
      <c r="E6" s="291"/>
      <c r="F6" s="279"/>
      <c r="G6" s="279"/>
      <c r="H6" s="279"/>
      <c r="I6" s="279"/>
      <c r="J6" s="279"/>
      <c r="K6" s="279"/>
      <c r="L6" s="279"/>
      <c r="M6" s="279"/>
      <c r="N6" s="279"/>
      <c r="O6" s="279"/>
      <c r="P6" s="279"/>
      <c r="Q6" s="210"/>
      <c r="R6" s="210"/>
      <c r="S6" s="492"/>
      <c r="T6" s="492"/>
    </row>
    <row r="7" spans="2:25" ht="24" customHeight="1" x14ac:dyDescent="0.2">
      <c r="B7" s="315" t="s">
        <v>228</v>
      </c>
      <c r="C7" s="317" t="str">
        <f>IF(LEN('JSM Eingabe+TW'!D7)&gt;0,'JSM Eingabe+TW'!D7,"")</f>
        <v>Mainz</v>
      </c>
      <c r="D7" s="317"/>
      <c r="E7" s="317"/>
      <c r="F7" s="317"/>
      <c r="G7" s="304"/>
      <c r="H7" s="335" t="s">
        <v>243</v>
      </c>
      <c r="I7" s="317" t="str">
        <f>IF(LEN('JSM Eingabe+TW'!M7)&gt;0,'JSM Eingabe+TW'!M7,"")</f>
        <v/>
      </c>
      <c r="K7" s="317"/>
      <c r="L7" s="317"/>
      <c r="M7" s="317"/>
      <c r="N7" s="317"/>
      <c r="O7" s="317"/>
      <c r="P7" s="317"/>
      <c r="Q7" s="301" t="str">
        <f>'JSM Eingabe+TW'!AB2</f>
        <v>Programmversion 7.3.9</v>
      </c>
      <c r="S7" s="493"/>
      <c r="T7" s="493"/>
    </row>
    <row r="8" spans="2:25" ht="4.5" customHeight="1" thickBot="1" x14ac:dyDescent="0.25">
      <c r="B8" s="292"/>
      <c r="C8" s="279"/>
      <c r="D8" s="295"/>
      <c r="E8" s="295"/>
      <c r="F8" s="295"/>
      <c r="G8" s="295"/>
      <c r="H8" s="295"/>
      <c r="I8" s="295"/>
      <c r="J8" s="295"/>
      <c r="K8" s="2"/>
      <c r="L8" s="2"/>
      <c r="M8" s="2"/>
      <c r="N8" s="2"/>
      <c r="O8" s="2"/>
      <c r="P8" s="2"/>
      <c r="Q8" s="210"/>
      <c r="R8" s="210"/>
      <c r="S8" s="494"/>
      <c r="T8" s="494"/>
    </row>
    <row r="9" spans="2:25" ht="21" customHeight="1" thickBot="1" x14ac:dyDescent="0.3">
      <c r="B9" s="515" t="s">
        <v>232</v>
      </c>
      <c r="C9" s="507"/>
      <c r="D9" s="507"/>
      <c r="E9" s="507"/>
      <c r="F9" s="508"/>
      <c r="G9" s="507"/>
      <c r="H9" s="507"/>
      <c r="I9" s="507"/>
      <c r="J9" s="507"/>
      <c r="K9" s="507"/>
      <c r="L9" s="507"/>
      <c r="M9" s="507"/>
      <c r="N9" s="507"/>
      <c r="O9" s="507"/>
      <c r="P9" s="507"/>
      <c r="Q9" s="509"/>
      <c r="S9" s="495"/>
      <c r="T9" s="495"/>
    </row>
    <row r="10" spans="2:25" ht="6" customHeight="1" x14ac:dyDescent="0.25">
      <c r="E10" s="21"/>
      <c r="F10" s="1"/>
      <c r="H10" s="23"/>
    </row>
    <row r="11" spans="2:25" ht="27" customHeight="1" x14ac:dyDescent="0.2">
      <c r="G11" s="23"/>
      <c r="H11" s="32"/>
      <c r="S11" s="488"/>
      <c r="U11" s="488"/>
    </row>
    <row r="12" spans="2:25" ht="12.75" customHeight="1" x14ac:dyDescent="0.2">
      <c r="C12" s="376"/>
      <c r="D12" s="867" t="s">
        <v>282</v>
      </c>
      <c r="E12" s="856" t="s">
        <v>207</v>
      </c>
      <c r="F12" s="856"/>
      <c r="M12" s="4"/>
      <c r="O12" s="6"/>
      <c r="P12" s="6"/>
      <c r="S12" s="488"/>
      <c r="U12" s="488"/>
      <c r="W12" s="490">
        <f>E30*2</f>
        <v>0</v>
      </c>
    </row>
    <row r="13" spans="2:25" ht="15.75" customHeight="1" x14ac:dyDescent="0.2">
      <c r="B13" s="376"/>
      <c r="C13" s="376"/>
      <c r="D13" s="867"/>
      <c r="E13" s="856"/>
      <c r="F13" s="856"/>
      <c r="M13" s="4"/>
      <c r="O13" s="6"/>
      <c r="P13" s="6"/>
      <c r="S13" s="488"/>
      <c r="U13" s="488"/>
      <c r="V13" s="496">
        <f>ROUND(E30,0)</f>
        <v>0</v>
      </c>
      <c r="W13" s="490">
        <f>ROUND(W12,0)</f>
        <v>0</v>
      </c>
      <c r="Y13" s="490">
        <f>COUNTIF(Y18:Y382,"&gt;1")</f>
        <v>0</v>
      </c>
    </row>
    <row r="14" spans="2:25" ht="18" customHeight="1" x14ac:dyDescent="0.2">
      <c r="B14" s="376"/>
      <c r="C14" s="376"/>
      <c r="D14" s="867"/>
      <c r="E14" s="856"/>
      <c r="F14" s="856"/>
      <c r="M14" s="4"/>
      <c r="O14" s="6"/>
      <c r="P14" s="6"/>
      <c r="S14" s="501"/>
    </row>
    <row r="15" spans="2:25" ht="6" customHeight="1" x14ac:dyDescent="0.2">
      <c r="O15" s="2"/>
    </row>
    <row r="16" spans="2:25" ht="9.75" customHeight="1" x14ac:dyDescent="0.2">
      <c r="L16" s="108"/>
    </row>
    <row r="17" spans="2:25" ht="16.5" customHeight="1" x14ac:dyDescent="0.2">
      <c r="B17" s="869" t="s">
        <v>234</v>
      </c>
      <c r="C17" s="869"/>
      <c r="D17" s="869"/>
      <c r="U17" s="489" t="s">
        <v>39</v>
      </c>
    </row>
    <row r="18" spans="2:25" x14ac:dyDescent="0.2">
      <c r="B18" s="871" t="s">
        <v>235</v>
      </c>
      <c r="C18" s="871"/>
      <c r="D18" s="871"/>
      <c r="E18" s="333" t="str">
        <f>'JSM Eingabe+TW'!I102</f>
        <v/>
      </c>
      <c r="F18" s="334" t="s">
        <v>213</v>
      </c>
      <c r="S18" s="489">
        <v>365</v>
      </c>
      <c r="T18" s="497">
        <v>1</v>
      </c>
      <c r="U18" s="489">
        <f>LARGE('JSM Eingabe+TW'!$DJ$32:$DU$62,S18)</f>
        <v>9.9999999999999995E-7</v>
      </c>
      <c r="V18" s="490">
        <f t="shared" ref="V18:V81" si="0">IF(T18=V$13,LARGE(U$18:U$382,1),0)</f>
        <v>0</v>
      </c>
      <c r="W18" s="490">
        <f t="shared" ref="W18:W81" si="1">IF(T18=W$13,LARGE(U$18:U$382,1),0)</f>
        <v>0</v>
      </c>
      <c r="Y18" s="490" t="str">
        <f>IF(U18&gt;'JSM Eingabe+TW'!$CU$92,'JSM Eingabe+TW'!$CU$92," ")</f>
        <v xml:space="preserve"> </v>
      </c>
    </row>
    <row r="19" spans="2:25" x14ac:dyDescent="0.2">
      <c r="B19" s="10"/>
      <c r="C19" s="10"/>
      <c r="D19" s="320" t="s">
        <v>36</v>
      </c>
      <c r="E19" s="333" t="str">
        <f>'JSM Eingabe+TW'!M102</f>
        <v/>
      </c>
      <c r="F19" s="334" t="s">
        <v>213</v>
      </c>
      <c r="S19" s="489">
        <v>364</v>
      </c>
      <c r="T19" s="497">
        <v>2</v>
      </c>
      <c r="U19" s="489">
        <f>LARGE('JSM Eingabe+TW'!$DJ$32:$DU$62,S19)</f>
        <v>9.9999999999999995E-7</v>
      </c>
      <c r="V19" s="490">
        <f t="shared" si="0"/>
        <v>0</v>
      </c>
      <c r="W19" s="490">
        <f t="shared" si="1"/>
        <v>0</v>
      </c>
      <c r="X19" s="490">
        <f>E$31</f>
        <v>0</v>
      </c>
      <c r="Y19" s="490" t="str">
        <f>IF(U19&gt;'JSM Eingabe+TW'!$CU$92,'JSM Eingabe+TW'!$CU$92," ")</f>
        <v xml:space="preserve"> </v>
      </c>
    </row>
    <row r="20" spans="2:25" x14ac:dyDescent="0.2">
      <c r="B20" s="871" t="s">
        <v>236</v>
      </c>
      <c r="C20" s="871"/>
      <c r="D20" s="871"/>
      <c r="E20" s="333" t="str">
        <f>'JSM Eingabe+TW'!Q102</f>
        <v/>
      </c>
      <c r="F20" s="334" t="s">
        <v>213</v>
      </c>
      <c r="S20" s="489">
        <v>363</v>
      </c>
      <c r="T20" s="497">
        <v>3</v>
      </c>
      <c r="U20" s="489">
        <f>LARGE('JSM Eingabe+TW'!$DJ$32:$DU$62,S20)</f>
        <v>9.9999999999999995E-7</v>
      </c>
      <c r="V20" s="490">
        <f t="shared" si="0"/>
        <v>0</v>
      </c>
      <c r="W20" s="490">
        <f t="shared" si="1"/>
        <v>0</v>
      </c>
      <c r="Y20" s="490" t="str">
        <f>IF(U20&gt;'JSM Eingabe+TW'!$CU$92,'JSM Eingabe+TW'!$CU$92," ")</f>
        <v xml:space="preserve"> </v>
      </c>
    </row>
    <row r="21" spans="2:25" ht="12.75" customHeight="1" x14ac:dyDescent="0.2">
      <c r="B21" s="870" t="s">
        <v>246</v>
      </c>
      <c r="C21" s="870"/>
      <c r="D21" s="870"/>
      <c r="E21" s="333" t="str">
        <f>'JSM Eingabe+TW'!I103</f>
        <v/>
      </c>
      <c r="F21" s="334" t="s">
        <v>213</v>
      </c>
      <c r="S21" s="489">
        <v>362</v>
      </c>
      <c r="T21" s="497">
        <v>4</v>
      </c>
      <c r="U21" s="489">
        <f>LARGE('JSM Eingabe+TW'!$DJ$32:$DU$62,S21)</f>
        <v>9.9999999999999995E-7</v>
      </c>
      <c r="V21" s="490">
        <f t="shared" si="0"/>
        <v>0</v>
      </c>
      <c r="W21" s="490">
        <f t="shared" si="1"/>
        <v>0</v>
      </c>
      <c r="Y21" s="490" t="str">
        <f>IF(U21&gt;'JSM Eingabe+TW'!$CU$92,'JSM Eingabe+TW'!$CU$92," ")</f>
        <v xml:space="preserve"> </v>
      </c>
    </row>
    <row r="22" spans="2:25" x14ac:dyDescent="0.2">
      <c r="B22" s="871" t="s">
        <v>215</v>
      </c>
      <c r="C22" s="871"/>
      <c r="D22" s="871"/>
      <c r="E22" s="333" t="str">
        <f>'JSM Eingabe+TW'!M103</f>
        <v/>
      </c>
      <c r="F22" s="334" t="s">
        <v>213</v>
      </c>
      <c r="S22" s="489">
        <v>361</v>
      </c>
      <c r="T22" s="497">
        <v>5</v>
      </c>
      <c r="U22" s="489">
        <f>LARGE('JSM Eingabe+TW'!$DJ$32:$DU$62,S22)</f>
        <v>9.9999999999999995E-7</v>
      </c>
      <c r="V22" s="490">
        <f t="shared" si="0"/>
        <v>0</v>
      </c>
      <c r="W22" s="490">
        <f t="shared" si="1"/>
        <v>0</v>
      </c>
      <c r="Y22" s="490" t="str">
        <f>IF(U22&gt;'JSM Eingabe+TW'!$CU$92,'JSM Eingabe+TW'!$CU$92," ")</f>
        <v xml:space="preserve"> </v>
      </c>
    </row>
    <row r="23" spans="2:25" ht="12.75" customHeight="1" x14ac:dyDescent="0.2">
      <c r="B23" s="10"/>
      <c r="C23" s="870" t="s">
        <v>133</v>
      </c>
      <c r="D23" s="870"/>
      <c r="E23" s="333">
        <f>'JSM Eingabe+TW'!Q103</f>
        <v>9.9999999999999995E-7</v>
      </c>
      <c r="F23" s="334" t="s">
        <v>213</v>
      </c>
      <c r="S23" s="489">
        <v>360</v>
      </c>
      <c r="T23" s="497">
        <v>6</v>
      </c>
      <c r="U23" s="489">
        <f>LARGE('JSM Eingabe+TW'!$DJ$32:$DU$62,S23)</f>
        <v>9.9999999999999995E-7</v>
      </c>
      <c r="V23" s="490">
        <f t="shared" si="0"/>
        <v>0</v>
      </c>
      <c r="W23" s="490">
        <f t="shared" si="1"/>
        <v>0</v>
      </c>
      <c r="Y23" s="490" t="str">
        <f>IF(U23&gt;'JSM Eingabe+TW'!$CU$92,'JSM Eingabe+TW'!$CU$92," ")</f>
        <v xml:space="preserve"> </v>
      </c>
    </row>
    <row r="24" spans="2:25" ht="7.5" customHeight="1" x14ac:dyDescent="0.2">
      <c r="S24" s="489">
        <v>359</v>
      </c>
      <c r="T24" s="497">
        <v>7</v>
      </c>
      <c r="U24" s="489">
        <f>LARGE('JSM Eingabe+TW'!$DJ$32:$DU$62,S24)</f>
        <v>9.9999999999999995E-7</v>
      </c>
      <c r="V24" s="490">
        <f t="shared" si="0"/>
        <v>0</v>
      </c>
      <c r="W24" s="490">
        <f t="shared" si="1"/>
        <v>0</v>
      </c>
      <c r="X24" s="490">
        <f>E$31</f>
        <v>0</v>
      </c>
      <c r="Y24" s="490" t="str">
        <f>IF(U24&gt;'JSM Eingabe+TW'!$CU$92,'JSM Eingabe+TW'!$CU$92," ")</f>
        <v xml:space="preserve"> </v>
      </c>
    </row>
    <row r="25" spans="2:25" x14ac:dyDescent="0.2">
      <c r="B25" s="868" t="s">
        <v>237</v>
      </c>
      <c r="C25" s="868"/>
      <c r="D25" s="868"/>
      <c r="E25">
        <f>'JSM Eingabe+TW'!N104</f>
        <v>365</v>
      </c>
      <c r="F25" s="6" t="s">
        <v>33</v>
      </c>
      <c r="S25" s="489">
        <v>358</v>
      </c>
      <c r="T25" s="497">
        <v>8</v>
      </c>
      <c r="U25" s="489">
        <f>LARGE('JSM Eingabe+TW'!$DJ$32:$DU$62,S25)</f>
        <v>9.9999999999999995E-7</v>
      </c>
      <c r="V25" s="490">
        <f t="shared" si="0"/>
        <v>0</v>
      </c>
      <c r="W25" s="490">
        <f t="shared" si="1"/>
        <v>0</v>
      </c>
      <c r="Y25" s="490" t="str">
        <f>IF(U25&gt;'JSM Eingabe+TW'!$CU$92,'JSM Eingabe+TW'!$CU$92," ")</f>
        <v xml:space="preserve"> </v>
      </c>
    </row>
    <row r="26" spans="2:25" ht="48" customHeight="1" x14ac:dyDescent="0.2">
      <c r="B26" s="870" t="str">
        <f>IF('JSM Eingabe+TW'!DX18&gt;0,"Für fehlende Einträge und für Hochwassertage wird folgender Ersatzwert berücksichtigt:"," ")</f>
        <v>Für fehlende Einträge und für Hochwassertage wird folgender Ersatzwert berücksichtigt:</v>
      </c>
      <c r="C26" s="870"/>
      <c r="D26" s="870"/>
      <c r="E26" s="534">
        <f>IF('JSM Eingabe+TW'!DX18&gt;0,'JSM Eingabe+TW'!Q103," ")</f>
        <v>9.9999999999999995E-7</v>
      </c>
      <c r="F26" s="535" t="str">
        <f>IF('JSM Eingabe+TW'!DX18&gt;0,"m³/d"," ")</f>
        <v>m³/d</v>
      </c>
      <c r="S26" s="489">
        <v>357</v>
      </c>
      <c r="T26" s="497">
        <v>9</v>
      </c>
      <c r="U26" s="489">
        <f>LARGE('JSM Eingabe+TW'!$DJ$32:$DU$62,S26)</f>
        <v>9.9999999999999995E-7</v>
      </c>
      <c r="V26" s="490">
        <f t="shared" si="0"/>
        <v>0</v>
      </c>
      <c r="W26" s="490">
        <f t="shared" si="1"/>
        <v>0</v>
      </c>
      <c r="Y26" s="490" t="str">
        <f>IF(U26&gt;'JSM Eingabe+TW'!$CU$92,'JSM Eingabe+TW'!$CU$92," ")</f>
        <v xml:space="preserve"> </v>
      </c>
    </row>
    <row r="27" spans="2:25" ht="8.25" customHeight="1" x14ac:dyDescent="0.2">
      <c r="S27" s="489">
        <v>356</v>
      </c>
      <c r="T27" s="497">
        <v>10</v>
      </c>
      <c r="U27" s="489">
        <f>LARGE('JSM Eingabe+TW'!$DJ$32:$DU$62,S27)</f>
        <v>9.9999999999999995E-7</v>
      </c>
      <c r="V27" s="490">
        <f t="shared" si="0"/>
        <v>0</v>
      </c>
      <c r="W27" s="490">
        <f t="shared" si="1"/>
        <v>0</v>
      </c>
      <c r="Y27" s="490" t="str">
        <f>IF(U27&gt;'JSM Eingabe+TW'!$CU$92,'JSM Eingabe+TW'!$CU$92," ")</f>
        <v xml:space="preserve"> </v>
      </c>
    </row>
    <row r="28" spans="2:25" ht="16.5" customHeight="1" x14ac:dyDescent="0.2">
      <c r="B28" s="869" t="s">
        <v>238</v>
      </c>
      <c r="C28" s="869"/>
      <c r="D28" s="869"/>
      <c r="S28" s="489">
        <v>355</v>
      </c>
      <c r="T28" s="497">
        <v>11</v>
      </c>
      <c r="U28" s="489">
        <f>LARGE('JSM Eingabe+TW'!$DJ$32:$DU$62,S28)</f>
        <v>9.9999999999999995E-7</v>
      </c>
      <c r="V28" s="490">
        <f t="shared" si="0"/>
        <v>0</v>
      </c>
      <c r="W28" s="490">
        <f t="shared" si="1"/>
        <v>0</v>
      </c>
      <c r="Y28" s="490" t="str">
        <f>IF(U28&gt;'JSM Eingabe+TW'!$CU$92,'JSM Eingabe+TW'!$CU$92," ")</f>
        <v xml:space="preserve"> </v>
      </c>
    </row>
    <row r="29" spans="2:25" x14ac:dyDescent="0.2">
      <c r="B29" s="868" t="s">
        <v>233</v>
      </c>
      <c r="C29" s="868"/>
      <c r="D29" s="868"/>
      <c r="E29" s="821">
        <f>'JSM Eingabe+TW'!AB64</f>
        <v>0</v>
      </c>
      <c r="F29" s="6" t="s">
        <v>33</v>
      </c>
      <c r="G29" s="614" t="s">
        <v>88</v>
      </c>
      <c r="S29" s="489">
        <v>354</v>
      </c>
      <c r="T29" s="497">
        <v>12</v>
      </c>
      <c r="U29" s="489">
        <f>LARGE('JSM Eingabe+TW'!$DJ$32:$DU$62,S29)</f>
        <v>9.9999999999999995E-7</v>
      </c>
      <c r="V29" s="490">
        <f t="shared" si="0"/>
        <v>0</v>
      </c>
      <c r="W29" s="490">
        <f t="shared" si="1"/>
        <v>0</v>
      </c>
      <c r="X29" s="490">
        <f>E$31</f>
        <v>0</v>
      </c>
      <c r="Y29" s="490" t="str">
        <f>IF(U29&gt;'JSM Eingabe+TW'!$CU$92,'JSM Eingabe+TW'!$CU$92," ")</f>
        <v xml:space="preserve"> </v>
      </c>
    </row>
    <row r="30" spans="2:25" ht="13.5" customHeight="1" x14ac:dyDescent="0.2">
      <c r="B30" s="868" t="s">
        <v>87</v>
      </c>
      <c r="C30" s="868"/>
      <c r="D30" s="868"/>
      <c r="E30" s="110">
        <f>E29/2</f>
        <v>0</v>
      </c>
      <c r="F30" s="6" t="s">
        <v>33</v>
      </c>
      <c r="G30" s="614" t="s">
        <v>152</v>
      </c>
      <c r="S30" s="489">
        <v>353</v>
      </c>
      <c r="T30" s="497">
        <v>13</v>
      </c>
      <c r="U30" s="489">
        <f>LARGE('JSM Eingabe+TW'!$DJ$32:$DU$62,S30)</f>
        <v>9.9999999999999995E-7</v>
      </c>
      <c r="V30" s="490">
        <f t="shared" si="0"/>
        <v>0</v>
      </c>
      <c r="W30" s="490">
        <f t="shared" si="1"/>
        <v>0</v>
      </c>
      <c r="Y30" s="490" t="str">
        <f>IF(U30&gt;'JSM Eingabe+TW'!$CU$92,'JSM Eingabe+TW'!$CU$92," ")</f>
        <v xml:space="preserve"> </v>
      </c>
    </row>
    <row r="31" spans="2:25" ht="13.5" customHeight="1" x14ac:dyDescent="0.2">
      <c r="B31" s="868" t="s">
        <v>57</v>
      </c>
      <c r="C31" s="868"/>
      <c r="D31" s="868"/>
      <c r="E31" s="58">
        <f>IFERROR(VLOOKUP(V13,T18:U382,2,1),0)</f>
        <v>0</v>
      </c>
      <c r="F31" s="6" t="s">
        <v>213</v>
      </c>
      <c r="G31" s="614" t="s">
        <v>216</v>
      </c>
      <c r="S31" s="489">
        <v>352</v>
      </c>
      <c r="T31" s="497">
        <v>14</v>
      </c>
      <c r="U31" s="489">
        <f>LARGE('JSM Eingabe+TW'!$DJ$32:$DU$62,S31)</f>
        <v>9.9999999999999995E-7</v>
      </c>
      <c r="V31" s="490">
        <f t="shared" si="0"/>
        <v>0</v>
      </c>
      <c r="W31" s="490">
        <f t="shared" si="1"/>
        <v>0</v>
      </c>
      <c r="Y31" s="490" t="str">
        <f>IF(U31&gt;'JSM Eingabe+TW'!$CU$92,'JSM Eingabe+TW'!$CU$92," ")</f>
        <v xml:space="preserve"> </v>
      </c>
    </row>
    <row r="32" spans="2:25" ht="21.75" customHeight="1" x14ac:dyDescent="0.2">
      <c r="S32" s="489">
        <v>351</v>
      </c>
      <c r="T32" s="497">
        <v>15</v>
      </c>
      <c r="U32" s="489">
        <f>LARGE('JSM Eingabe+TW'!$DJ$32:$DU$62,S32)</f>
        <v>9.9999999999999995E-7</v>
      </c>
      <c r="V32" s="490">
        <f t="shared" si="0"/>
        <v>0</v>
      </c>
      <c r="W32" s="490">
        <f t="shared" si="1"/>
        <v>0</v>
      </c>
      <c r="Y32" s="490" t="str">
        <f>IF(U32&gt;'JSM Eingabe+TW'!$CU$92,'JSM Eingabe+TW'!$CU$92," ")</f>
        <v xml:space="preserve"> </v>
      </c>
    </row>
    <row r="33" spans="8:25" ht="13.5" thickBot="1" x14ac:dyDescent="0.25">
      <c r="H33" t="s">
        <v>221</v>
      </c>
      <c r="Q33" s="2"/>
      <c r="S33" s="489">
        <v>350</v>
      </c>
      <c r="T33" s="497">
        <v>16</v>
      </c>
      <c r="U33" s="489">
        <f>LARGE('JSM Eingabe+TW'!$DJ$32:$DU$62,S33)</f>
        <v>9.9999999999999995E-7</v>
      </c>
      <c r="V33" s="490">
        <f t="shared" si="0"/>
        <v>0</v>
      </c>
      <c r="W33" s="490">
        <f t="shared" si="1"/>
        <v>0</v>
      </c>
      <c r="Y33" s="490" t="str">
        <f>IF(U33&gt;'JSM Eingabe+TW'!$CU$92,'JSM Eingabe+TW'!$CU$92," ")</f>
        <v xml:space="preserve"> </v>
      </c>
    </row>
    <row r="34" spans="8:25" ht="22.5" customHeight="1" thickBot="1" x14ac:dyDescent="0.25">
      <c r="H34" s="521"/>
      <c r="I34" s="522"/>
      <c r="J34" s="523" t="s">
        <v>89</v>
      </c>
      <c r="K34" s="524"/>
      <c r="L34" s="524"/>
      <c r="M34" s="524"/>
      <c r="N34" s="872">
        <f>E31*365</f>
        <v>0</v>
      </c>
      <c r="O34" s="872"/>
      <c r="P34" s="872"/>
      <c r="Q34" s="520" t="s">
        <v>323</v>
      </c>
      <c r="S34" s="489">
        <v>349</v>
      </c>
      <c r="T34" s="497">
        <v>17</v>
      </c>
      <c r="U34" s="489">
        <f>LARGE('JSM Eingabe+TW'!$DJ$32:$DU$62,S34)</f>
        <v>9.9999999999999995E-7</v>
      </c>
      <c r="V34" s="490">
        <f t="shared" si="0"/>
        <v>0</v>
      </c>
      <c r="W34" s="490">
        <f t="shared" si="1"/>
        <v>0</v>
      </c>
      <c r="X34" s="490">
        <f>E$31</f>
        <v>0</v>
      </c>
    </row>
    <row r="35" spans="8:25" x14ac:dyDescent="0.2">
      <c r="Q35" s="2"/>
      <c r="S35" s="489">
        <v>348</v>
      </c>
      <c r="T35" s="497">
        <v>18</v>
      </c>
      <c r="U35" s="489">
        <f>LARGE('JSM Eingabe+TW'!$DJ$32:$DU$62,S35)</f>
        <v>9.9999999999999995E-7</v>
      </c>
      <c r="V35" s="490">
        <f t="shared" si="0"/>
        <v>0</v>
      </c>
      <c r="W35" s="490">
        <f t="shared" si="1"/>
        <v>0</v>
      </c>
    </row>
    <row r="36" spans="8:25" x14ac:dyDescent="0.2">
      <c r="Q36" s="2"/>
      <c r="S36" s="489">
        <v>347</v>
      </c>
      <c r="T36" s="497">
        <v>19</v>
      </c>
      <c r="U36" s="489">
        <f>LARGE('JSM Eingabe+TW'!$DJ$32:$DU$62,S36)</f>
        <v>9.9999999999999995E-7</v>
      </c>
      <c r="V36" s="490">
        <f t="shared" si="0"/>
        <v>0</v>
      </c>
      <c r="W36" s="490">
        <f t="shared" si="1"/>
        <v>0</v>
      </c>
    </row>
    <row r="37" spans="8:25" x14ac:dyDescent="0.2">
      <c r="Q37" s="2"/>
      <c r="S37" s="489">
        <v>346</v>
      </c>
      <c r="T37" s="497">
        <v>20</v>
      </c>
      <c r="U37" s="489">
        <f>LARGE('JSM Eingabe+TW'!$DJ$32:$DU$62,S37)</f>
        <v>9.9999999999999995E-7</v>
      </c>
      <c r="V37" s="490">
        <f t="shared" si="0"/>
        <v>0</v>
      </c>
      <c r="W37" s="490">
        <f t="shared" si="1"/>
        <v>0</v>
      </c>
    </row>
    <row r="38" spans="8:25" x14ac:dyDescent="0.2">
      <c r="S38" s="489">
        <v>345</v>
      </c>
      <c r="T38" s="497">
        <v>21</v>
      </c>
      <c r="U38" s="489">
        <f>LARGE('JSM Eingabe+TW'!$DJ$32:$DU$62,S38)</f>
        <v>9.9999999999999995E-7</v>
      </c>
      <c r="V38" s="490">
        <f t="shared" si="0"/>
        <v>0</v>
      </c>
      <c r="W38" s="490">
        <f t="shared" si="1"/>
        <v>0</v>
      </c>
      <c r="Y38" s="490" t="str">
        <f>IF(U38&gt;'JSM Eingabe+TW'!$CU$92,'JSM Eingabe+TW'!$CU$92," ")</f>
        <v xml:space="preserve"> </v>
      </c>
    </row>
    <row r="39" spans="8:25" x14ac:dyDescent="0.2">
      <c r="H39" s="502"/>
      <c r="I39" s="503"/>
      <c r="J39" s="504"/>
      <c r="K39" s="502"/>
      <c r="L39" s="502"/>
      <c r="M39" s="502"/>
      <c r="N39" s="505"/>
      <c r="O39" s="505"/>
      <c r="P39" s="505"/>
      <c r="Q39" s="506"/>
      <c r="S39" s="489">
        <v>344</v>
      </c>
      <c r="T39" s="497">
        <v>22</v>
      </c>
      <c r="U39" s="489">
        <f>LARGE('JSM Eingabe+TW'!$DJ$32:$DU$62,S39)</f>
        <v>9.9999999999999995E-7</v>
      </c>
      <c r="V39" s="490">
        <f t="shared" si="0"/>
        <v>0</v>
      </c>
      <c r="W39" s="490">
        <f t="shared" si="1"/>
        <v>0</v>
      </c>
      <c r="X39" s="490">
        <f>E$31</f>
        <v>0</v>
      </c>
    </row>
    <row r="40" spans="8:25" x14ac:dyDescent="0.2">
      <c r="H40" s="502"/>
      <c r="I40" s="503"/>
      <c r="J40" s="504"/>
      <c r="K40" s="502"/>
      <c r="L40" s="502"/>
      <c r="M40" s="502"/>
      <c r="N40" s="505"/>
      <c r="O40" s="505"/>
      <c r="P40" s="505"/>
      <c r="Q40" s="506"/>
      <c r="S40" s="489">
        <v>343</v>
      </c>
      <c r="T40" s="497">
        <v>23</v>
      </c>
      <c r="U40" s="489">
        <f>LARGE('JSM Eingabe+TW'!$DJ$32:$DU$62,S40)</f>
        <v>9.9999999999999995E-7</v>
      </c>
      <c r="V40" s="490">
        <f t="shared" si="0"/>
        <v>0</v>
      </c>
      <c r="W40" s="490">
        <f t="shared" si="1"/>
        <v>0</v>
      </c>
    </row>
    <row r="41" spans="8:25" ht="12" customHeight="1" x14ac:dyDescent="0.2">
      <c r="J41" s="4" t="str">
        <f>IF(Y13&gt;0,"Der schwarz liniierte Bereich am rechten Rand liegt ausserhalb des Betrachtungsbereichs (fehlende Daten)"," ")</f>
        <v xml:space="preserve"> </v>
      </c>
      <c r="S41" s="489">
        <v>342</v>
      </c>
      <c r="T41" s="497">
        <v>24</v>
      </c>
      <c r="U41" s="489">
        <f>LARGE('JSM Eingabe+TW'!$DJ$32:$DU$62,S41)</f>
        <v>9.9999999999999995E-7</v>
      </c>
      <c r="V41" s="490">
        <f t="shared" si="0"/>
        <v>0</v>
      </c>
      <c r="W41" s="490">
        <f t="shared" si="1"/>
        <v>0</v>
      </c>
      <c r="Y41" s="490" t="str">
        <f>IF(U41&gt;'JSM Eingabe+TW'!$CU$92,'JSM Eingabe+TW'!$CU$92," ")</f>
        <v xml:space="preserve"> </v>
      </c>
    </row>
    <row r="42" spans="8:25" x14ac:dyDescent="0.2">
      <c r="S42" s="489">
        <v>341</v>
      </c>
      <c r="T42" s="497">
        <v>25</v>
      </c>
      <c r="U42" s="489">
        <f>LARGE('JSM Eingabe+TW'!$DJ$32:$DU$62,S42)</f>
        <v>9.9999999999999995E-7</v>
      </c>
      <c r="V42" s="490">
        <f t="shared" si="0"/>
        <v>0</v>
      </c>
      <c r="W42" s="490">
        <f t="shared" si="1"/>
        <v>0</v>
      </c>
      <c r="Y42" s="490" t="str">
        <f>IF(U42&gt;'JSM Eingabe+TW'!$CU$92,'JSM Eingabe+TW'!$CU$92," ")</f>
        <v xml:space="preserve"> </v>
      </c>
    </row>
    <row r="43" spans="8:25" ht="15.75" customHeight="1" x14ac:dyDescent="0.2">
      <c r="S43" s="489">
        <v>340</v>
      </c>
      <c r="T43" s="497">
        <v>26</v>
      </c>
      <c r="U43" s="489">
        <f>LARGE('JSM Eingabe+TW'!$DJ$32:$DU$62,S43)</f>
        <v>9.9999999999999995E-7</v>
      </c>
      <c r="V43" s="490">
        <f t="shared" si="0"/>
        <v>0</v>
      </c>
      <c r="W43" s="490">
        <f t="shared" si="1"/>
        <v>0</v>
      </c>
      <c r="Y43" s="490" t="str">
        <f>IF(U43&gt;'JSM Eingabe+TW'!$CU$92,'JSM Eingabe+TW'!$CU$92," ")</f>
        <v xml:space="preserve"> </v>
      </c>
    </row>
    <row r="44" spans="8:25" x14ac:dyDescent="0.2">
      <c r="S44" s="489">
        <v>339</v>
      </c>
      <c r="T44" s="497">
        <v>27</v>
      </c>
      <c r="U44" s="489">
        <f>LARGE('JSM Eingabe+TW'!$DJ$32:$DU$62,S44)</f>
        <v>9.9999999999999995E-7</v>
      </c>
      <c r="V44" s="490">
        <f t="shared" si="0"/>
        <v>0</v>
      </c>
      <c r="W44" s="490">
        <f t="shared" si="1"/>
        <v>0</v>
      </c>
      <c r="X44" s="490">
        <f>E$31</f>
        <v>0</v>
      </c>
      <c r="Y44" s="490" t="str">
        <f>IF(U44&gt;'JSM Eingabe+TW'!$CU$92,'JSM Eingabe+TW'!$CU$92," ")</f>
        <v xml:space="preserve"> </v>
      </c>
    </row>
    <row r="45" spans="8:25" x14ac:dyDescent="0.2">
      <c r="S45" s="489">
        <v>338</v>
      </c>
      <c r="T45" s="497">
        <v>28</v>
      </c>
      <c r="U45" s="489">
        <f>LARGE('JSM Eingabe+TW'!$DJ$32:$DU$62,S45)</f>
        <v>9.9999999999999995E-7</v>
      </c>
      <c r="V45" s="490">
        <f t="shared" si="0"/>
        <v>0</v>
      </c>
      <c r="W45" s="490">
        <f t="shared" si="1"/>
        <v>0</v>
      </c>
      <c r="Y45" s="490" t="str">
        <f>IF(U45&gt;'JSM Eingabe+TW'!$CU$92,'JSM Eingabe+TW'!$CU$92," ")</f>
        <v xml:space="preserve"> </v>
      </c>
    </row>
    <row r="46" spans="8:25" x14ac:dyDescent="0.2">
      <c r="S46" s="489">
        <v>337</v>
      </c>
      <c r="T46" s="497">
        <v>29</v>
      </c>
      <c r="U46" s="489">
        <f>LARGE('JSM Eingabe+TW'!$DJ$32:$DU$62,S46)</f>
        <v>9.9999999999999995E-7</v>
      </c>
      <c r="V46" s="490">
        <f t="shared" si="0"/>
        <v>0</v>
      </c>
      <c r="W46" s="490">
        <f t="shared" si="1"/>
        <v>0</v>
      </c>
      <c r="Y46" s="490" t="str">
        <f>IF(U46&gt;'JSM Eingabe+TW'!$CU$92,'JSM Eingabe+TW'!$CU$92," ")</f>
        <v xml:space="preserve"> </v>
      </c>
    </row>
    <row r="47" spans="8:25" x14ac:dyDescent="0.2">
      <c r="S47" s="489">
        <v>336</v>
      </c>
      <c r="T47" s="497">
        <v>30</v>
      </c>
      <c r="U47" s="489">
        <f>LARGE('JSM Eingabe+TW'!$DJ$32:$DU$62,S47)</f>
        <v>9.9999999999999995E-7</v>
      </c>
      <c r="V47" s="490">
        <f t="shared" si="0"/>
        <v>0</v>
      </c>
      <c r="W47" s="490">
        <f t="shared" si="1"/>
        <v>0</v>
      </c>
      <c r="Y47" s="490" t="str">
        <f>IF(U47&gt;'JSM Eingabe+TW'!$CU$92,'JSM Eingabe+TW'!$CU$92," ")</f>
        <v xml:space="preserve"> </v>
      </c>
    </row>
    <row r="48" spans="8:25" ht="28.5" customHeight="1" x14ac:dyDescent="0.2">
      <c r="S48" s="489">
        <v>335</v>
      </c>
      <c r="T48" s="497">
        <v>31</v>
      </c>
      <c r="U48" s="489">
        <f>LARGE('JSM Eingabe+TW'!$DJ$32:$DU$62,S48)</f>
        <v>9.9999999999999995E-7</v>
      </c>
      <c r="V48" s="490">
        <f t="shared" si="0"/>
        <v>0</v>
      </c>
      <c r="W48" s="490">
        <f t="shared" si="1"/>
        <v>0</v>
      </c>
      <c r="Y48" s="490" t="str">
        <f>IF(U48&gt;'JSM Eingabe+TW'!$CU$92,'JSM Eingabe+TW'!$CU$92," ")</f>
        <v xml:space="preserve"> </v>
      </c>
    </row>
    <row r="49" spans="19:25" x14ac:dyDescent="0.2">
      <c r="S49" s="489">
        <v>334</v>
      </c>
      <c r="T49" s="497">
        <v>32</v>
      </c>
      <c r="U49" s="489">
        <f>LARGE('JSM Eingabe+TW'!$DJ$32:$DU$62,S49)</f>
        <v>9.9999999999999995E-7</v>
      </c>
      <c r="V49" s="490">
        <f t="shared" si="0"/>
        <v>0</v>
      </c>
      <c r="W49" s="490">
        <f t="shared" si="1"/>
        <v>0</v>
      </c>
      <c r="X49" s="490">
        <f>E$31</f>
        <v>0</v>
      </c>
      <c r="Y49" s="490" t="str">
        <f>IF(U49&gt;'JSM Eingabe+TW'!$CU$92,'JSM Eingabe+TW'!$CU$92," ")</f>
        <v xml:space="preserve"> </v>
      </c>
    </row>
    <row r="50" spans="19:25" x14ac:dyDescent="0.2">
      <c r="S50" s="489">
        <v>333</v>
      </c>
      <c r="T50" s="497">
        <v>33</v>
      </c>
      <c r="U50" s="489">
        <f>LARGE('JSM Eingabe+TW'!$DJ$32:$DU$62,S50)</f>
        <v>9.9999999999999995E-7</v>
      </c>
      <c r="V50" s="490">
        <f t="shared" si="0"/>
        <v>0</v>
      </c>
      <c r="W50" s="490">
        <f t="shared" si="1"/>
        <v>0</v>
      </c>
      <c r="Y50" s="490" t="str">
        <f>IF(U50&gt;'JSM Eingabe+TW'!$CU$92,'JSM Eingabe+TW'!$CU$92," ")</f>
        <v xml:space="preserve"> </v>
      </c>
    </row>
    <row r="51" spans="19:25" x14ac:dyDescent="0.2">
      <c r="S51" s="489">
        <v>332</v>
      </c>
      <c r="T51" s="497">
        <v>34</v>
      </c>
      <c r="U51" s="489">
        <f>LARGE('JSM Eingabe+TW'!$DJ$32:$DU$62,S51)</f>
        <v>9.9999999999999995E-7</v>
      </c>
      <c r="V51" s="490">
        <f t="shared" si="0"/>
        <v>0</v>
      </c>
      <c r="W51" s="490">
        <f t="shared" si="1"/>
        <v>0</v>
      </c>
      <c r="Y51" s="490" t="str">
        <f>IF(U51&gt;'JSM Eingabe+TW'!$CU$92,'JSM Eingabe+TW'!$CU$92," ")</f>
        <v xml:space="preserve"> </v>
      </c>
    </row>
    <row r="52" spans="19:25" x14ac:dyDescent="0.2">
      <c r="S52" s="489">
        <v>331</v>
      </c>
      <c r="T52" s="497">
        <v>35</v>
      </c>
      <c r="U52" s="489">
        <f>LARGE('JSM Eingabe+TW'!$DJ$32:$DU$62,S52)</f>
        <v>9.9999999999999995E-7</v>
      </c>
      <c r="V52" s="490">
        <f t="shared" si="0"/>
        <v>0</v>
      </c>
      <c r="W52" s="490">
        <f t="shared" si="1"/>
        <v>0</v>
      </c>
      <c r="Y52" s="490" t="str">
        <f>IF(U52&gt;'JSM Eingabe+TW'!$CU$92,'JSM Eingabe+TW'!$CU$92," ")</f>
        <v xml:space="preserve"> </v>
      </c>
    </row>
    <row r="53" spans="19:25" x14ac:dyDescent="0.2">
      <c r="S53" s="489">
        <v>330</v>
      </c>
      <c r="T53" s="497">
        <v>36</v>
      </c>
      <c r="U53" s="489">
        <f>LARGE('JSM Eingabe+TW'!$DJ$32:$DU$62,S53)</f>
        <v>9.9999999999999995E-7</v>
      </c>
      <c r="V53" s="490">
        <f t="shared" si="0"/>
        <v>0</v>
      </c>
      <c r="W53" s="490">
        <f t="shared" si="1"/>
        <v>0</v>
      </c>
      <c r="Y53" s="490" t="str">
        <f>IF(U53&gt;'JSM Eingabe+TW'!$CU$92,'JSM Eingabe+TW'!$CU$92," ")</f>
        <v xml:space="preserve"> </v>
      </c>
    </row>
    <row r="54" spans="19:25" x14ac:dyDescent="0.2">
      <c r="S54" s="489">
        <v>329</v>
      </c>
      <c r="T54" s="497">
        <v>37</v>
      </c>
      <c r="U54" s="489">
        <f>LARGE('JSM Eingabe+TW'!$DJ$32:$DU$62,S54)</f>
        <v>9.9999999999999995E-7</v>
      </c>
      <c r="V54" s="490">
        <f t="shared" si="0"/>
        <v>0</v>
      </c>
      <c r="W54" s="490">
        <f t="shared" si="1"/>
        <v>0</v>
      </c>
      <c r="X54" s="490">
        <f>E$31</f>
        <v>0</v>
      </c>
      <c r="Y54" s="490" t="str">
        <f>IF(U54&gt;'JSM Eingabe+TW'!$CU$92,'JSM Eingabe+TW'!$CU$92," ")</f>
        <v xml:space="preserve"> </v>
      </c>
    </row>
    <row r="55" spans="19:25" x14ac:dyDescent="0.2">
      <c r="S55" s="489">
        <v>328</v>
      </c>
      <c r="T55" s="497">
        <v>38</v>
      </c>
      <c r="U55" s="489">
        <f>LARGE('JSM Eingabe+TW'!$DJ$32:$DU$62,S55)</f>
        <v>9.9999999999999995E-7</v>
      </c>
      <c r="V55" s="490">
        <f t="shared" si="0"/>
        <v>0</v>
      </c>
      <c r="W55" s="490">
        <f t="shared" si="1"/>
        <v>0</v>
      </c>
      <c r="Y55" s="490" t="str">
        <f>IF(U55&gt;'JSM Eingabe+TW'!$CU$92,'JSM Eingabe+TW'!$CU$92," ")</f>
        <v xml:space="preserve"> </v>
      </c>
    </row>
    <row r="56" spans="19:25" x14ac:dyDescent="0.2">
      <c r="S56" s="489">
        <v>327</v>
      </c>
      <c r="T56" s="497">
        <v>39</v>
      </c>
      <c r="U56" s="489">
        <f>LARGE('JSM Eingabe+TW'!$DJ$32:$DU$62,S56)</f>
        <v>9.9999999999999995E-7</v>
      </c>
      <c r="V56" s="490">
        <f t="shared" si="0"/>
        <v>0</v>
      </c>
      <c r="W56" s="490">
        <f t="shared" si="1"/>
        <v>0</v>
      </c>
      <c r="Y56" s="490" t="str">
        <f>IF(U56&gt;'JSM Eingabe+TW'!$CU$92,'JSM Eingabe+TW'!$CU$92," ")</f>
        <v xml:space="preserve"> </v>
      </c>
    </row>
    <row r="57" spans="19:25" x14ac:dyDescent="0.2">
      <c r="S57" s="489">
        <v>326</v>
      </c>
      <c r="T57" s="497">
        <v>40</v>
      </c>
      <c r="U57" s="489">
        <f>LARGE('JSM Eingabe+TW'!$DJ$32:$DU$62,S57)</f>
        <v>9.9999999999999995E-7</v>
      </c>
      <c r="V57" s="490">
        <f t="shared" si="0"/>
        <v>0</v>
      </c>
      <c r="W57" s="490">
        <f t="shared" si="1"/>
        <v>0</v>
      </c>
      <c r="Y57" s="490" t="str">
        <f>IF(U57&gt;'JSM Eingabe+TW'!$CU$92,'JSM Eingabe+TW'!$CU$92," ")</f>
        <v xml:space="preserve"> </v>
      </c>
    </row>
    <row r="58" spans="19:25" x14ac:dyDescent="0.2">
      <c r="S58" s="489">
        <v>325</v>
      </c>
      <c r="T58" s="497">
        <v>41</v>
      </c>
      <c r="U58" s="489">
        <f>LARGE('JSM Eingabe+TW'!$DJ$32:$DU$62,S58)</f>
        <v>9.9999999999999995E-7</v>
      </c>
      <c r="V58" s="490">
        <f t="shared" si="0"/>
        <v>0</v>
      </c>
      <c r="W58" s="490">
        <f t="shared" si="1"/>
        <v>0</v>
      </c>
      <c r="Y58" s="490" t="str">
        <f>IF(U58&gt;'JSM Eingabe+TW'!$CU$92,'JSM Eingabe+TW'!$CU$92," ")</f>
        <v xml:space="preserve"> </v>
      </c>
    </row>
    <row r="59" spans="19:25" x14ac:dyDescent="0.2">
      <c r="S59" s="489">
        <v>324</v>
      </c>
      <c r="T59" s="497">
        <v>42</v>
      </c>
      <c r="U59" s="489">
        <f>LARGE('JSM Eingabe+TW'!$DJ$32:$DU$62,S59)</f>
        <v>9.9999999999999995E-7</v>
      </c>
      <c r="V59" s="490">
        <f t="shared" si="0"/>
        <v>0</v>
      </c>
      <c r="W59" s="490">
        <f t="shared" si="1"/>
        <v>0</v>
      </c>
      <c r="X59" s="490">
        <f>E$31</f>
        <v>0</v>
      </c>
      <c r="Y59" s="490" t="str">
        <f>IF(U59&gt;'JSM Eingabe+TW'!$CU$92,'JSM Eingabe+TW'!$CU$92," ")</f>
        <v xml:space="preserve"> </v>
      </c>
    </row>
    <row r="60" spans="19:25" x14ac:dyDescent="0.2">
      <c r="S60" s="489">
        <v>323</v>
      </c>
      <c r="T60" s="497">
        <v>43</v>
      </c>
      <c r="U60" s="489">
        <f>LARGE('JSM Eingabe+TW'!$DJ$32:$DU$62,S60)</f>
        <v>9.9999999999999995E-7</v>
      </c>
      <c r="V60" s="490">
        <f t="shared" si="0"/>
        <v>0</v>
      </c>
      <c r="W60" s="490">
        <f t="shared" si="1"/>
        <v>0</v>
      </c>
      <c r="Y60" s="490" t="str">
        <f>IF(U60&gt;'JSM Eingabe+TW'!$CU$92,'JSM Eingabe+TW'!$CU$92," ")</f>
        <v xml:space="preserve"> </v>
      </c>
    </row>
    <row r="61" spans="19:25" x14ac:dyDescent="0.2">
      <c r="S61" s="489">
        <v>322</v>
      </c>
      <c r="T61" s="497">
        <v>44</v>
      </c>
      <c r="U61" s="489">
        <f>LARGE('JSM Eingabe+TW'!$DJ$32:$DU$62,S61)</f>
        <v>9.9999999999999995E-7</v>
      </c>
      <c r="V61" s="490">
        <f t="shared" si="0"/>
        <v>0</v>
      </c>
      <c r="W61" s="490">
        <f t="shared" si="1"/>
        <v>0</v>
      </c>
      <c r="Y61" s="490" t="str">
        <f>IF(U61&gt;'JSM Eingabe+TW'!$CU$92,'JSM Eingabe+TW'!$CU$92," ")</f>
        <v xml:space="preserve"> </v>
      </c>
    </row>
    <row r="62" spans="19:25" x14ac:dyDescent="0.2">
      <c r="S62" s="489">
        <v>321</v>
      </c>
      <c r="T62" s="497">
        <v>45</v>
      </c>
      <c r="U62" s="489">
        <f>LARGE('JSM Eingabe+TW'!$DJ$32:$DU$62,S62)</f>
        <v>9.9999999999999995E-7</v>
      </c>
      <c r="V62" s="490">
        <f t="shared" si="0"/>
        <v>0</v>
      </c>
      <c r="W62" s="490">
        <f t="shared" si="1"/>
        <v>0</v>
      </c>
      <c r="Y62" s="490" t="str">
        <f>IF(U62&gt;'JSM Eingabe+TW'!$CU$92,'JSM Eingabe+TW'!$CU$92," ")</f>
        <v xml:space="preserve"> </v>
      </c>
    </row>
    <row r="63" spans="19:25" x14ac:dyDescent="0.2">
      <c r="S63" s="489">
        <v>320</v>
      </c>
      <c r="T63" s="497">
        <v>46</v>
      </c>
      <c r="U63" s="489">
        <f>LARGE('JSM Eingabe+TW'!$DJ$32:$DU$62,S63)</f>
        <v>9.9999999999999995E-7</v>
      </c>
      <c r="V63" s="490">
        <f t="shared" si="0"/>
        <v>0</v>
      </c>
      <c r="W63" s="490">
        <f t="shared" si="1"/>
        <v>0</v>
      </c>
      <c r="Y63" s="490" t="str">
        <f>IF(U63&gt;'JSM Eingabe+TW'!$CU$92,'JSM Eingabe+TW'!$CU$92," ")</f>
        <v xml:space="preserve"> </v>
      </c>
    </row>
    <row r="64" spans="19:25" x14ac:dyDescent="0.2">
      <c r="S64" s="489">
        <v>319</v>
      </c>
      <c r="T64" s="497">
        <v>47</v>
      </c>
      <c r="U64" s="489">
        <f>LARGE('JSM Eingabe+TW'!$DJ$32:$DU$62,S64)</f>
        <v>9.9999999999999995E-7</v>
      </c>
      <c r="V64" s="490">
        <f t="shared" si="0"/>
        <v>0</v>
      </c>
      <c r="W64" s="490">
        <f t="shared" si="1"/>
        <v>0</v>
      </c>
      <c r="X64" s="490">
        <f>E$31</f>
        <v>0</v>
      </c>
      <c r="Y64" s="490" t="str">
        <f>IF(U64&gt;'JSM Eingabe+TW'!$CU$92,'JSM Eingabe+TW'!$CU$92," ")</f>
        <v xml:space="preserve"> </v>
      </c>
    </row>
    <row r="65" spans="19:25" x14ac:dyDescent="0.2">
      <c r="S65" s="489">
        <v>318</v>
      </c>
      <c r="T65" s="497">
        <v>48</v>
      </c>
      <c r="U65" s="489">
        <f>LARGE('JSM Eingabe+TW'!$DJ$32:$DU$62,S65)</f>
        <v>9.9999999999999995E-7</v>
      </c>
      <c r="V65" s="490">
        <f t="shared" si="0"/>
        <v>0</v>
      </c>
      <c r="W65" s="490">
        <f t="shared" si="1"/>
        <v>0</v>
      </c>
      <c r="Y65" s="490" t="str">
        <f>IF(U65&gt;'JSM Eingabe+TW'!$CU$92,'JSM Eingabe+TW'!$CU$92," ")</f>
        <v xml:space="preserve"> </v>
      </c>
    </row>
    <row r="66" spans="19:25" x14ac:dyDescent="0.2">
      <c r="S66" s="489">
        <v>317</v>
      </c>
      <c r="T66" s="497">
        <v>49</v>
      </c>
      <c r="U66" s="489">
        <f>LARGE('JSM Eingabe+TW'!$DJ$32:$DU$62,S66)</f>
        <v>9.9999999999999995E-7</v>
      </c>
      <c r="V66" s="490">
        <f t="shared" si="0"/>
        <v>0</v>
      </c>
      <c r="W66" s="490">
        <f t="shared" si="1"/>
        <v>0</v>
      </c>
      <c r="Y66" s="490" t="str">
        <f>IF(U66&gt;'JSM Eingabe+TW'!$CU$92,'JSM Eingabe+TW'!$CU$92," ")</f>
        <v xml:space="preserve"> </v>
      </c>
    </row>
    <row r="67" spans="19:25" x14ac:dyDescent="0.2">
      <c r="S67" s="489">
        <v>316</v>
      </c>
      <c r="T67" s="497">
        <v>50</v>
      </c>
      <c r="U67" s="489">
        <f>LARGE('JSM Eingabe+TW'!$DJ$32:$DU$62,S67)</f>
        <v>9.9999999999999995E-7</v>
      </c>
      <c r="V67" s="490">
        <f t="shared" si="0"/>
        <v>0</v>
      </c>
      <c r="W67" s="490">
        <f t="shared" si="1"/>
        <v>0</v>
      </c>
      <c r="Y67" s="490" t="str">
        <f>IF(U67&gt;'JSM Eingabe+TW'!$CU$92,'JSM Eingabe+TW'!$CU$92," ")</f>
        <v xml:space="preserve"> </v>
      </c>
    </row>
    <row r="68" spans="19:25" x14ac:dyDescent="0.2">
      <c r="S68" s="489">
        <v>315</v>
      </c>
      <c r="T68" s="497">
        <v>51</v>
      </c>
      <c r="U68" s="489">
        <f>LARGE('JSM Eingabe+TW'!$DJ$32:$DU$62,S68)</f>
        <v>9.9999999999999995E-7</v>
      </c>
      <c r="V68" s="490">
        <f t="shared" si="0"/>
        <v>0</v>
      </c>
      <c r="W68" s="490">
        <f t="shared" si="1"/>
        <v>0</v>
      </c>
      <c r="Y68" s="490" t="str">
        <f>IF(U68&gt;'JSM Eingabe+TW'!$CU$92,'JSM Eingabe+TW'!$CU$92," ")</f>
        <v xml:space="preserve"> </v>
      </c>
    </row>
    <row r="69" spans="19:25" x14ac:dyDescent="0.2">
      <c r="S69" s="489">
        <v>314</v>
      </c>
      <c r="T69" s="497">
        <v>52</v>
      </c>
      <c r="U69" s="489">
        <f>LARGE('JSM Eingabe+TW'!$DJ$32:$DU$62,S69)</f>
        <v>9.9999999999999995E-7</v>
      </c>
      <c r="V69" s="490">
        <f t="shared" si="0"/>
        <v>0</v>
      </c>
      <c r="W69" s="490">
        <f t="shared" si="1"/>
        <v>0</v>
      </c>
      <c r="X69" s="490">
        <f>E$31</f>
        <v>0</v>
      </c>
      <c r="Y69" s="490" t="str">
        <f>IF(U69&gt;'JSM Eingabe+TW'!$CU$92,'JSM Eingabe+TW'!$CU$92," ")</f>
        <v xml:space="preserve"> </v>
      </c>
    </row>
    <row r="70" spans="19:25" x14ac:dyDescent="0.2">
      <c r="S70" s="489">
        <v>313</v>
      </c>
      <c r="T70" s="497">
        <v>53</v>
      </c>
      <c r="U70" s="489">
        <f>LARGE('JSM Eingabe+TW'!$DJ$32:$DU$62,S70)</f>
        <v>9.9999999999999995E-7</v>
      </c>
      <c r="V70" s="490">
        <f t="shared" si="0"/>
        <v>0</v>
      </c>
      <c r="W70" s="490">
        <f t="shared" si="1"/>
        <v>0</v>
      </c>
      <c r="Y70" s="490" t="str">
        <f>IF(U70&gt;'JSM Eingabe+TW'!$CU$92,'JSM Eingabe+TW'!$CU$92," ")</f>
        <v xml:space="preserve"> </v>
      </c>
    </row>
    <row r="71" spans="19:25" x14ac:dyDescent="0.2">
      <c r="S71" s="489">
        <v>312</v>
      </c>
      <c r="T71" s="497">
        <v>54</v>
      </c>
      <c r="U71" s="489">
        <f>LARGE('JSM Eingabe+TW'!$DJ$32:$DU$62,S71)</f>
        <v>9.9999999999999995E-7</v>
      </c>
      <c r="V71" s="490">
        <f t="shared" si="0"/>
        <v>0</v>
      </c>
      <c r="W71" s="490">
        <f t="shared" si="1"/>
        <v>0</v>
      </c>
      <c r="Y71" s="490" t="str">
        <f>IF(U71&gt;'JSM Eingabe+TW'!$CU$92,'JSM Eingabe+TW'!$CU$92," ")</f>
        <v xml:space="preserve"> </v>
      </c>
    </row>
    <row r="72" spans="19:25" x14ac:dyDescent="0.2">
      <c r="S72" s="489">
        <v>311</v>
      </c>
      <c r="T72" s="497">
        <v>55</v>
      </c>
      <c r="U72" s="489">
        <f>LARGE('JSM Eingabe+TW'!$DJ$32:$DU$62,S72)</f>
        <v>9.9999999999999995E-7</v>
      </c>
      <c r="V72" s="490">
        <f t="shared" si="0"/>
        <v>0</v>
      </c>
      <c r="W72" s="490">
        <f t="shared" si="1"/>
        <v>0</v>
      </c>
      <c r="Y72" s="490" t="str">
        <f>IF(U72&gt;'JSM Eingabe+TW'!$CU$92,'JSM Eingabe+TW'!$CU$92," ")</f>
        <v xml:space="preserve"> </v>
      </c>
    </row>
    <row r="73" spans="19:25" x14ac:dyDescent="0.2">
      <c r="S73" s="489">
        <v>310</v>
      </c>
      <c r="T73" s="497">
        <v>56</v>
      </c>
      <c r="U73" s="489">
        <f>LARGE('JSM Eingabe+TW'!$DJ$32:$DU$62,S73)</f>
        <v>9.9999999999999995E-7</v>
      </c>
      <c r="V73" s="490">
        <f t="shared" si="0"/>
        <v>0</v>
      </c>
      <c r="W73" s="490">
        <f t="shared" si="1"/>
        <v>0</v>
      </c>
      <c r="Y73" s="490" t="str">
        <f>IF(U73&gt;'JSM Eingabe+TW'!$CU$92,'JSM Eingabe+TW'!$CU$92," ")</f>
        <v xml:space="preserve"> </v>
      </c>
    </row>
    <row r="74" spans="19:25" x14ac:dyDescent="0.2">
      <c r="S74" s="489">
        <v>309</v>
      </c>
      <c r="T74" s="497">
        <v>57</v>
      </c>
      <c r="U74" s="489">
        <f>LARGE('JSM Eingabe+TW'!$DJ$32:$DU$62,S74)</f>
        <v>9.9999999999999995E-7</v>
      </c>
      <c r="V74" s="490">
        <f t="shared" si="0"/>
        <v>0</v>
      </c>
      <c r="W74" s="490">
        <f t="shared" si="1"/>
        <v>0</v>
      </c>
      <c r="X74" s="490">
        <f>E$31</f>
        <v>0</v>
      </c>
      <c r="Y74" s="490" t="str">
        <f>IF(U74&gt;'JSM Eingabe+TW'!$CU$92,'JSM Eingabe+TW'!$CU$92," ")</f>
        <v xml:space="preserve"> </v>
      </c>
    </row>
    <row r="75" spans="19:25" x14ac:dyDescent="0.2">
      <c r="S75" s="489">
        <v>308</v>
      </c>
      <c r="T75" s="497">
        <v>58</v>
      </c>
      <c r="U75" s="489">
        <f>LARGE('JSM Eingabe+TW'!$DJ$32:$DU$62,S75)</f>
        <v>9.9999999999999995E-7</v>
      </c>
      <c r="V75" s="490">
        <f t="shared" si="0"/>
        <v>0</v>
      </c>
      <c r="W75" s="490">
        <f t="shared" si="1"/>
        <v>0</v>
      </c>
      <c r="Y75" s="490" t="str">
        <f>IF(U75&gt;'JSM Eingabe+TW'!$CU$92,'JSM Eingabe+TW'!$CU$92," ")</f>
        <v xml:space="preserve"> </v>
      </c>
    </row>
    <row r="76" spans="19:25" x14ac:dyDescent="0.2">
      <c r="S76" s="489">
        <v>307</v>
      </c>
      <c r="T76" s="497">
        <v>59</v>
      </c>
      <c r="U76" s="489">
        <f>LARGE('JSM Eingabe+TW'!$DJ$32:$DU$62,S76)</f>
        <v>9.9999999999999995E-7</v>
      </c>
      <c r="V76" s="490">
        <f t="shared" si="0"/>
        <v>0</v>
      </c>
      <c r="W76" s="490">
        <f t="shared" si="1"/>
        <v>0</v>
      </c>
      <c r="Y76" s="490" t="str">
        <f>IF(U76&gt;'JSM Eingabe+TW'!$CU$92,'JSM Eingabe+TW'!$CU$92," ")</f>
        <v xml:space="preserve"> </v>
      </c>
    </row>
    <row r="77" spans="19:25" x14ac:dyDescent="0.2">
      <c r="S77" s="489">
        <v>306</v>
      </c>
      <c r="T77" s="497">
        <v>60</v>
      </c>
      <c r="U77" s="489">
        <f>LARGE('JSM Eingabe+TW'!$DJ$32:$DU$62,S77)</f>
        <v>9.9999999999999995E-7</v>
      </c>
      <c r="V77" s="490">
        <f t="shared" si="0"/>
        <v>0</v>
      </c>
      <c r="W77" s="490">
        <f t="shared" si="1"/>
        <v>0</v>
      </c>
      <c r="Y77" s="490" t="str">
        <f>IF(U77&gt;'JSM Eingabe+TW'!$CU$92,'JSM Eingabe+TW'!$CU$92," ")</f>
        <v xml:space="preserve"> </v>
      </c>
    </row>
    <row r="78" spans="19:25" x14ac:dyDescent="0.2">
      <c r="S78" s="489">
        <v>305</v>
      </c>
      <c r="T78" s="497">
        <v>61</v>
      </c>
      <c r="U78" s="489">
        <f>LARGE('JSM Eingabe+TW'!$DJ$32:$DU$62,S78)</f>
        <v>9.9999999999999995E-7</v>
      </c>
      <c r="V78" s="490">
        <f t="shared" si="0"/>
        <v>0</v>
      </c>
      <c r="W78" s="490">
        <f t="shared" si="1"/>
        <v>0</v>
      </c>
      <c r="Y78" s="490" t="str">
        <f>IF(U78&gt;'JSM Eingabe+TW'!$CU$92,'JSM Eingabe+TW'!$CU$92," ")</f>
        <v xml:space="preserve"> </v>
      </c>
    </row>
    <row r="79" spans="19:25" x14ac:dyDescent="0.2">
      <c r="S79" s="489">
        <v>304</v>
      </c>
      <c r="T79" s="497">
        <v>62</v>
      </c>
      <c r="U79" s="489">
        <f>LARGE('JSM Eingabe+TW'!$DJ$32:$DU$62,S79)</f>
        <v>9.9999999999999995E-7</v>
      </c>
      <c r="V79" s="490">
        <f t="shared" si="0"/>
        <v>0</v>
      </c>
      <c r="W79" s="490">
        <f t="shared" si="1"/>
        <v>0</v>
      </c>
      <c r="X79" s="490">
        <f>E$31</f>
        <v>0</v>
      </c>
      <c r="Y79" s="490" t="str">
        <f>IF(U79&gt;'JSM Eingabe+TW'!$CU$92,'JSM Eingabe+TW'!$CU$92," ")</f>
        <v xml:space="preserve"> </v>
      </c>
    </row>
    <row r="80" spans="19:25" x14ac:dyDescent="0.2">
      <c r="S80" s="489">
        <v>303</v>
      </c>
      <c r="T80" s="497">
        <v>63</v>
      </c>
      <c r="U80" s="489">
        <f>LARGE('JSM Eingabe+TW'!$DJ$32:$DU$62,S80)</f>
        <v>9.9999999999999995E-7</v>
      </c>
      <c r="V80" s="490">
        <f t="shared" si="0"/>
        <v>0</v>
      </c>
      <c r="W80" s="490">
        <f t="shared" si="1"/>
        <v>0</v>
      </c>
      <c r="Y80" s="490" t="str">
        <f>IF(U80&gt;'JSM Eingabe+TW'!$CU$92,'JSM Eingabe+TW'!$CU$92," ")</f>
        <v xml:space="preserve"> </v>
      </c>
    </row>
    <row r="81" spans="19:25" x14ac:dyDescent="0.2">
      <c r="S81" s="489">
        <v>302</v>
      </c>
      <c r="T81" s="497">
        <v>64</v>
      </c>
      <c r="U81" s="489">
        <f>LARGE('JSM Eingabe+TW'!$DJ$32:$DU$62,S81)</f>
        <v>9.9999999999999995E-7</v>
      </c>
      <c r="V81" s="490">
        <f t="shared" si="0"/>
        <v>0</v>
      </c>
      <c r="W81" s="490">
        <f t="shared" si="1"/>
        <v>0</v>
      </c>
      <c r="Y81" s="490" t="str">
        <f>IF(U81&gt;'JSM Eingabe+TW'!$CU$92,'JSM Eingabe+TW'!$CU$92," ")</f>
        <v xml:space="preserve"> </v>
      </c>
    </row>
    <row r="82" spans="19:25" x14ac:dyDescent="0.2">
      <c r="S82" s="489">
        <v>301</v>
      </c>
      <c r="T82" s="497">
        <v>65</v>
      </c>
      <c r="U82" s="489">
        <f>LARGE('JSM Eingabe+TW'!$DJ$32:$DU$62,S82)</f>
        <v>9.9999999999999995E-7</v>
      </c>
      <c r="V82" s="490">
        <f t="shared" ref="V82:V145" si="2">IF(T82=V$13,LARGE(U$18:U$382,1),0)</f>
        <v>0</v>
      </c>
      <c r="W82" s="490">
        <f t="shared" ref="W82:W145" si="3">IF(T82=W$13,LARGE(U$18:U$382,1),0)</f>
        <v>0</v>
      </c>
      <c r="Y82" s="490" t="str">
        <f>IF(U82&gt;'JSM Eingabe+TW'!$CU$92,'JSM Eingabe+TW'!$CU$92," ")</f>
        <v xml:space="preserve"> </v>
      </c>
    </row>
    <row r="83" spans="19:25" x14ac:dyDescent="0.2">
      <c r="S83" s="489">
        <v>300</v>
      </c>
      <c r="T83" s="497">
        <v>66</v>
      </c>
      <c r="U83" s="489">
        <f>LARGE('JSM Eingabe+TW'!$DJ$32:$DU$62,S83)</f>
        <v>9.9999999999999995E-7</v>
      </c>
      <c r="V83" s="490">
        <f t="shared" si="2"/>
        <v>0</v>
      </c>
      <c r="W83" s="490">
        <f t="shared" si="3"/>
        <v>0</v>
      </c>
      <c r="Y83" s="490" t="str">
        <f>IF(U83&gt;'JSM Eingabe+TW'!$CU$92,'JSM Eingabe+TW'!$CU$92," ")</f>
        <v xml:space="preserve"> </v>
      </c>
    </row>
    <row r="84" spans="19:25" x14ac:dyDescent="0.2">
      <c r="S84" s="489">
        <v>299</v>
      </c>
      <c r="T84" s="497">
        <v>67</v>
      </c>
      <c r="U84" s="489">
        <f>LARGE('JSM Eingabe+TW'!$DJ$32:$DU$62,S84)</f>
        <v>9.9999999999999995E-7</v>
      </c>
      <c r="V84" s="490">
        <f t="shared" si="2"/>
        <v>0</v>
      </c>
      <c r="W84" s="490">
        <f t="shared" si="3"/>
        <v>0</v>
      </c>
      <c r="X84" s="490">
        <f>E$31</f>
        <v>0</v>
      </c>
      <c r="Y84" s="490" t="str">
        <f>IF(U84&gt;'JSM Eingabe+TW'!$CU$92,'JSM Eingabe+TW'!$CU$92," ")</f>
        <v xml:space="preserve"> </v>
      </c>
    </row>
    <row r="85" spans="19:25" x14ac:dyDescent="0.2">
      <c r="S85" s="489">
        <v>298</v>
      </c>
      <c r="T85" s="497">
        <v>68</v>
      </c>
      <c r="U85" s="489">
        <f>LARGE('JSM Eingabe+TW'!$DJ$32:$DU$62,S85)</f>
        <v>9.9999999999999995E-7</v>
      </c>
      <c r="V85" s="490">
        <f t="shared" si="2"/>
        <v>0</v>
      </c>
      <c r="W85" s="490">
        <f t="shared" si="3"/>
        <v>0</v>
      </c>
      <c r="Y85" s="490" t="str">
        <f>IF(U85&gt;'JSM Eingabe+TW'!$CU$92,'JSM Eingabe+TW'!$CU$92," ")</f>
        <v xml:space="preserve"> </v>
      </c>
    </row>
    <row r="86" spans="19:25" x14ac:dyDescent="0.2">
      <c r="S86" s="489">
        <v>297</v>
      </c>
      <c r="T86" s="497">
        <v>69</v>
      </c>
      <c r="U86" s="489">
        <f>LARGE('JSM Eingabe+TW'!$DJ$32:$DU$62,S86)</f>
        <v>9.9999999999999995E-7</v>
      </c>
      <c r="V86" s="490">
        <f t="shared" si="2"/>
        <v>0</v>
      </c>
      <c r="W86" s="490">
        <f t="shared" si="3"/>
        <v>0</v>
      </c>
      <c r="Y86" s="490" t="str">
        <f>IF(U86&gt;'JSM Eingabe+TW'!$CU$92,'JSM Eingabe+TW'!$CU$92," ")</f>
        <v xml:space="preserve"> </v>
      </c>
    </row>
    <row r="87" spans="19:25" x14ac:dyDescent="0.2">
      <c r="S87" s="489">
        <v>296</v>
      </c>
      <c r="T87" s="497">
        <v>70</v>
      </c>
      <c r="U87" s="489">
        <f>LARGE('JSM Eingabe+TW'!$DJ$32:$DU$62,S87)</f>
        <v>9.9999999999999995E-7</v>
      </c>
      <c r="V87" s="490">
        <f t="shared" si="2"/>
        <v>0</v>
      </c>
      <c r="W87" s="490">
        <f t="shared" si="3"/>
        <v>0</v>
      </c>
      <c r="Y87" s="490" t="str">
        <f>IF(U87&gt;'JSM Eingabe+TW'!$CU$92,'JSM Eingabe+TW'!$CU$92," ")</f>
        <v xml:space="preserve"> </v>
      </c>
    </row>
    <row r="88" spans="19:25" x14ac:dyDescent="0.2">
      <c r="S88" s="489">
        <v>295</v>
      </c>
      <c r="T88" s="497">
        <v>71</v>
      </c>
      <c r="U88" s="489">
        <f>LARGE('JSM Eingabe+TW'!$DJ$32:$DU$62,S88)</f>
        <v>9.9999999999999995E-7</v>
      </c>
      <c r="V88" s="490">
        <f t="shared" si="2"/>
        <v>0</v>
      </c>
      <c r="W88" s="490">
        <f t="shared" si="3"/>
        <v>0</v>
      </c>
      <c r="Y88" s="490" t="str">
        <f>IF(U88&gt;'JSM Eingabe+TW'!$CU$92,'JSM Eingabe+TW'!$CU$92," ")</f>
        <v xml:space="preserve"> </v>
      </c>
    </row>
    <row r="89" spans="19:25" x14ac:dyDescent="0.2">
      <c r="S89" s="489">
        <v>294</v>
      </c>
      <c r="T89" s="497">
        <v>72</v>
      </c>
      <c r="U89" s="489">
        <f>LARGE('JSM Eingabe+TW'!$DJ$32:$DU$62,S89)</f>
        <v>9.9999999999999995E-7</v>
      </c>
      <c r="V89" s="490">
        <f t="shared" si="2"/>
        <v>0</v>
      </c>
      <c r="W89" s="490">
        <f t="shared" si="3"/>
        <v>0</v>
      </c>
      <c r="X89" s="490">
        <f>E$31</f>
        <v>0</v>
      </c>
      <c r="Y89" s="490" t="str">
        <f>IF(U89&gt;'JSM Eingabe+TW'!$CU$92,'JSM Eingabe+TW'!$CU$92," ")</f>
        <v xml:space="preserve"> </v>
      </c>
    </row>
    <row r="90" spans="19:25" x14ac:dyDescent="0.2">
      <c r="S90" s="489">
        <v>293</v>
      </c>
      <c r="T90" s="497">
        <v>73</v>
      </c>
      <c r="U90" s="489">
        <f>LARGE('JSM Eingabe+TW'!$DJ$32:$DU$62,S90)</f>
        <v>9.9999999999999995E-7</v>
      </c>
      <c r="V90" s="490">
        <f t="shared" si="2"/>
        <v>0</v>
      </c>
      <c r="W90" s="490">
        <f t="shared" si="3"/>
        <v>0</v>
      </c>
      <c r="Y90" s="490" t="str">
        <f>IF(U90&gt;'JSM Eingabe+TW'!$CU$92,'JSM Eingabe+TW'!$CU$92," ")</f>
        <v xml:space="preserve"> </v>
      </c>
    </row>
    <row r="91" spans="19:25" x14ac:dyDescent="0.2">
      <c r="S91" s="489">
        <v>292</v>
      </c>
      <c r="T91" s="497">
        <v>74</v>
      </c>
      <c r="U91" s="489">
        <f>LARGE('JSM Eingabe+TW'!$DJ$32:$DU$62,S91)</f>
        <v>9.9999999999999995E-7</v>
      </c>
      <c r="V91" s="490">
        <f t="shared" si="2"/>
        <v>0</v>
      </c>
      <c r="W91" s="490">
        <f t="shared" si="3"/>
        <v>0</v>
      </c>
      <c r="Y91" s="490" t="str">
        <f>IF(U91&gt;'JSM Eingabe+TW'!$CU$92,'JSM Eingabe+TW'!$CU$92," ")</f>
        <v xml:space="preserve"> </v>
      </c>
    </row>
    <row r="92" spans="19:25" x14ac:dyDescent="0.2">
      <c r="S92" s="489">
        <v>291</v>
      </c>
      <c r="T92" s="497">
        <v>75</v>
      </c>
      <c r="U92" s="489">
        <f>LARGE('JSM Eingabe+TW'!$DJ$32:$DU$62,S92)</f>
        <v>9.9999999999999995E-7</v>
      </c>
      <c r="V92" s="490">
        <f t="shared" si="2"/>
        <v>0</v>
      </c>
      <c r="W92" s="490">
        <f t="shared" si="3"/>
        <v>0</v>
      </c>
      <c r="Y92" s="490" t="str">
        <f>IF(U92&gt;'JSM Eingabe+TW'!$CU$92,'JSM Eingabe+TW'!$CU$92," ")</f>
        <v xml:space="preserve"> </v>
      </c>
    </row>
    <row r="93" spans="19:25" x14ac:dyDescent="0.2">
      <c r="S93" s="489">
        <v>290</v>
      </c>
      <c r="T93" s="497">
        <v>76</v>
      </c>
      <c r="U93" s="489">
        <f>LARGE('JSM Eingabe+TW'!$DJ$32:$DU$62,S93)</f>
        <v>9.9999999999999995E-7</v>
      </c>
      <c r="V93" s="490">
        <f t="shared" si="2"/>
        <v>0</v>
      </c>
      <c r="W93" s="490">
        <f t="shared" si="3"/>
        <v>0</v>
      </c>
      <c r="Y93" s="490" t="str">
        <f>IF(U93&gt;'JSM Eingabe+TW'!$CU$92,'JSM Eingabe+TW'!$CU$92," ")</f>
        <v xml:space="preserve"> </v>
      </c>
    </row>
    <row r="94" spans="19:25" x14ac:dyDescent="0.2">
      <c r="S94" s="489">
        <v>289</v>
      </c>
      <c r="T94" s="497">
        <v>77</v>
      </c>
      <c r="U94" s="489">
        <f>LARGE('JSM Eingabe+TW'!$DJ$32:$DU$62,S94)</f>
        <v>9.9999999999999995E-7</v>
      </c>
      <c r="V94" s="490">
        <f t="shared" si="2"/>
        <v>0</v>
      </c>
      <c r="W94" s="490">
        <f t="shared" si="3"/>
        <v>0</v>
      </c>
      <c r="X94" s="490">
        <f>E$31</f>
        <v>0</v>
      </c>
      <c r="Y94" s="490" t="str">
        <f>IF(U94&gt;'JSM Eingabe+TW'!$CU$92,'JSM Eingabe+TW'!$CU$92," ")</f>
        <v xml:space="preserve"> </v>
      </c>
    </row>
    <row r="95" spans="19:25" x14ac:dyDescent="0.2">
      <c r="S95" s="489">
        <v>288</v>
      </c>
      <c r="T95" s="497">
        <v>78</v>
      </c>
      <c r="U95" s="489">
        <f>LARGE('JSM Eingabe+TW'!$DJ$32:$DU$62,S95)</f>
        <v>9.9999999999999995E-7</v>
      </c>
      <c r="V95" s="490">
        <f t="shared" si="2"/>
        <v>0</v>
      </c>
      <c r="W95" s="490">
        <f t="shared" si="3"/>
        <v>0</v>
      </c>
      <c r="Y95" s="490" t="str">
        <f>IF(U95&gt;'JSM Eingabe+TW'!$CU$92,'JSM Eingabe+TW'!$CU$92," ")</f>
        <v xml:space="preserve"> </v>
      </c>
    </row>
    <row r="96" spans="19:25" x14ac:dyDescent="0.2">
      <c r="S96" s="489">
        <v>287</v>
      </c>
      <c r="T96" s="497">
        <v>79</v>
      </c>
      <c r="U96" s="489">
        <f>LARGE('JSM Eingabe+TW'!$DJ$32:$DU$62,S96)</f>
        <v>9.9999999999999995E-7</v>
      </c>
      <c r="V96" s="490">
        <f t="shared" si="2"/>
        <v>0</v>
      </c>
      <c r="W96" s="490">
        <f t="shared" si="3"/>
        <v>0</v>
      </c>
      <c r="Y96" s="490" t="str">
        <f>IF(U96&gt;'JSM Eingabe+TW'!$CU$92,'JSM Eingabe+TW'!$CU$92," ")</f>
        <v xml:space="preserve"> </v>
      </c>
    </row>
    <row r="97" spans="19:25" x14ac:dyDescent="0.2">
      <c r="S97" s="489">
        <v>286</v>
      </c>
      <c r="T97" s="497">
        <v>80</v>
      </c>
      <c r="U97" s="489">
        <f>LARGE('JSM Eingabe+TW'!$DJ$32:$DU$62,S97)</f>
        <v>9.9999999999999995E-7</v>
      </c>
      <c r="V97" s="490">
        <f t="shared" si="2"/>
        <v>0</v>
      </c>
      <c r="W97" s="490">
        <f t="shared" si="3"/>
        <v>0</v>
      </c>
      <c r="Y97" s="490" t="str">
        <f>IF(U97&gt;'JSM Eingabe+TW'!$CU$92,'JSM Eingabe+TW'!$CU$92," ")</f>
        <v xml:space="preserve"> </v>
      </c>
    </row>
    <row r="98" spans="19:25" x14ac:dyDescent="0.2">
      <c r="S98" s="489">
        <v>285</v>
      </c>
      <c r="T98" s="497">
        <v>81</v>
      </c>
      <c r="U98" s="489">
        <f>LARGE('JSM Eingabe+TW'!$DJ$32:$DU$62,S98)</f>
        <v>9.9999999999999995E-7</v>
      </c>
      <c r="V98" s="490">
        <f t="shared" si="2"/>
        <v>0</v>
      </c>
      <c r="W98" s="490">
        <f t="shared" si="3"/>
        <v>0</v>
      </c>
      <c r="Y98" s="490" t="str">
        <f>IF(U98&gt;'JSM Eingabe+TW'!$CU$92,'JSM Eingabe+TW'!$CU$92," ")</f>
        <v xml:space="preserve"> </v>
      </c>
    </row>
    <row r="99" spans="19:25" x14ac:dyDescent="0.2">
      <c r="S99" s="489">
        <v>284</v>
      </c>
      <c r="T99" s="497">
        <v>82</v>
      </c>
      <c r="U99" s="489">
        <f>LARGE('JSM Eingabe+TW'!$DJ$32:$DU$62,S99)</f>
        <v>9.9999999999999995E-7</v>
      </c>
      <c r="V99" s="490">
        <f t="shared" si="2"/>
        <v>0</v>
      </c>
      <c r="W99" s="490">
        <f t="shared" si="3"/>
        <v>0</v>
      </c>
      <c r="X99" s="490">
        <f>E$31</f>
        <v>0</v>
      </c>
      <c r="Y99" s="490" t="str">
        <f>IF(U99&gt;'JSM Eingabe+TW'!$CU$92,'JSM Eingabe+TW'!$CU$92," ")</f>
        <v xml:space="preserve"> </v>
      </c>
    </row>
    <row r="100" spans="19:25" x14ac:dyDescent="0.2">
      <c r="S100" s="489">
        <v>283</v>
      </c>
      <c r="T100" s="497">
        <v>83</v>
      </c>
      <c r="U100" s="489">
        <f>LARGE('JSM Eingabe+TW'!$DJ$32:$DU$62,S100)</f>
        <v>9.9999999999999995E-7</v>
      </c>
      <c r="V100" s="490">
        <f t="shared" si="2"/>
        <v>0</v>
      </c>
      <c r="W100" s="490">
        <f t="shared" si="3"/>
        <v>0</v>
      </c>
      <c r="Y100" s="490" t="str">
        <f>IF(U100&gt;'JSM Eingabe+TW'!$CU$92,'JSM Eingabe+TW'!$CU$92," ")</f>
        <v xml:space="preserve"> </v>
      </c>
    </row>
    <row r="101" spans="19:25" x14ac:dyDescent="0.2">
      <c r="S101" s="489">
        <v>282</v>
      </c>
      <c r="T101" s="497">
        <v>84</v>
      </c>
      <c r="U101" s="489">
        <f>LARGE('JSM Eingabe+TW'!$DJ$32:$DU$62,S101)</f>
        <v>9.9999999999999995E-7</v>
      </c>
      <c r="V101" s="490">
        <f t="shared" si="2"/>
        <v>0</v>
      </c>
      <c r="W101" s="490">
        <f t="shared" si="3"/>
        <v>0</v>
      </c>
      <c r="Y101" s="490" t="str">
        <f>IF(U101&gt;'JSM Eingabe+TW'!$CU$92,'JSM Eingabe+TW'!$CU$92," ")</f>
        <v xml:space="preserve"> </v>
      </c>
    </row>
    <row r="102" spans="19:25" x14ac:dyDescent="0.2">
      <c r="S102" s="489">
        <v>281</v>
      </c>
      <c r="T102" s="497">
        <v>85</v>
      </c>
      <c r="U102" s="489">
        <f>LARGE('JSM Eingabe+TW'!$DJ$32:$DU$62,S102)</f>
        <v>9.9999999999999995E-7</v>
      </c>
      <c r="V102" s="490">
        <f t="shared" si="2"/>
        <v>0</v>
      </c>
      <c r="W102" s="490">
        <f t="shared" si="3"/>
        <v>0</v>
      </c>
      <c r="Y102" s="490" t="str">
        <f>IF(U102&gt;'JSM Eingabe+TW'!$CU$92,'JSM Eingabe+TW'!$CU$92," ")</f>
        <v xml:space="preserve"> </v>
      </c>
    </row>
    <row r="103" spans="19:25" x14ac:dyDescent="0.2">
      <c r="S103" s="489">
        <v>280</v>
      </c>
      <c r="T103" s="497">
        <v>86</v>
      </c>
      <c r="U103" s="489">
        <f>LARGE('JSM Eingabe+TW'!$DJ$32:$DU$62,S103)</f>
        <v>9.9999999999999995E-7</v>
      </c>
      <c r="V103" s="490">
        <f t="shared" si="2"/>
        <v>0</v>
      </c>
      <c r="W103" s="490">
        <f t="shared" si="3"/>
        <v>0</v>
      </c>
      <c r="Y103" s="490" t="str">
        <f>IF(U103&gt;'JSM Eingabe+TW'!$CU$92,'JSM Eingabe+TW'!$CU$92," ")</f>
        <v xml:space="preserve"> </v>
      </c>
    </row>
    <row r="104" spans="19:25" x14ac:dyDescent="0.2">
      <c r="S104" s="489">
        <v>279</v>
      </c>
      <c r="T104" s="497">
        <v>87</v>
      </c>
      <c r="U104" s="489">
        <f>LARGE('JSM Eingabe+TW'!$DJ$32:$DU$62,S104)</f>
        <v>9.9999999999999995E-7</v>
      </c>
      <c r="V104" s="490">
        <f t="shared" si="2"/>
        <v>0</v>
      </c>
      <c r="W104" s="490">
        <f t="shared" si="3"/>
        <v>0</v>
      </c>
      <c r="X104" s="490">
        <f>E$31</f>
        <v>0</v>
      </c>
      <c r="Y104" s="490" t="str">
        <f>IF(U104&gt;'JSM Eingabe+TW'!$CU$92,'JSM Eingabe+TW'!$CU$92," ")</f>
        <v xml:space="preserve"> </v>
      </c>
    </row>
    <row r="105" spans="19:25" x14ac:dyDescent="0.2">
      <c r="S105" s="489">
        <v>278</v>
      </c>
      <c r="T105" s="497">
        <v>88</v>
      </c>
      <c r="U105" s="489">
        <f>LARGE('JSM Eingabe+TW'!$DJ$32:$DU$62,S105)</f>
        <v>9.9999999999999995E-7</v>
      </c>
      <c r="V105" s="490">
        <f t="shared" si="2"/>
        <v>0</v>
      </c>
      <c r="W105" s="490">
        <f t="shared" si="3"/>
        <v>0</v>
      </c>
      <c r="Y105" s="490" t="str">
        <f>IF(U105&gt;'JSM Eingabe+TW'!$CU$92,'JSM Eingabe+TW'!$CU$92," ")</f>
        <v xml:space="preserve"> </v>
      </c>
    </row>
    <row r="106" spans="19:25" x14ac:dyDescent="0.2">
      <c r="S106" s="489">
        <v>277</v>
      </c>
      <c r="T106" s="497">
        <v>89</v>
      </c>
      <c r="U106" s="489">
        <f>LARGE('JSM Eingabe+TW'!$DJ$32:$DU$62,S106)</f>
        <v>9.9999999999999995E-7</v>
      </c>
      <c r="V106" s="490">
        <f t="shared" si="2"/>
        <v>0</v>
      </c>
      <c r="W106" s="490">
        <f t="shared" si="3"/>
        <v>0</v>
      </c>
      <c r="Y106" s="490" t="str">
        <f>IF(U106&gt;'JSM Eingabe+TW'!$CU$92,'JSM Eingabe+TW'!$CU$92," ")</f>
        <v xml:space="preserve"> </v>
      </c>
    </row>
    <row r="107" spans="19:25" x14ac:dyDescent="0.2">
      <c r="S107" s="489">
        <v>276</v>
      </c>
      <c r="T107" s="497">
        <v>90</v>
      </c>
      <c r="U107" s="489">
        <f>LARGE('JSM Eingabe+TW'!$DJ$32:$DU$62,S107)</f>
        <v>9.9999999999999995E-7</v>
      </c>
      <c r="V107" s="490">
        <f t="shared" si="2"/>
        <v>0</v>
      </c>
      <c r="W107" s="490">
        <f t="shared" si="3"/>
        <v>0</v>
      </c>
      <c r="Y107" s="490" t="str">
        <f>IF(U107&gt;'JSM Eingabe+TW'!$CU$92,'JSM Eingabe+TW'!$CU$92," ")</f>
        <v xml:space="preserve"> </v>
      </c>
    </row>
    <row r="108" spans="19:25" x14ac:dyDescent="0.2">
      <c r="S108" s="489">
        <v>275</v>
      </c>
      <c r="T108" s="497">
        <v>91</v>
      </c>
      <c r="U108" s="489">
        <f>LARGE('JSM Eingabe+TW'!$DJ$32:$DU$62,S108)</f>
        <v>9.9999999999999995E-7</v>
      </c>
      <c r="V108" s="490">
        <f t="shared" si="2"/>
        <v>0</v>
      </c>
      <c r="W108" s="490">
        <f t="shared" si="3"/>
        <v>0</v>
      </c>
      <c r="Y108" s="490" t="str">
        <f>IF(U108&gt;'JSM Eingabe+TW'!$CU$92,'JSM Eingabe+TW'!$CU$92," ")</f>
        <v xml:space="preserve"> </v>
      </c>
    </row>
    <row r="109" spans="19:25" x14ac:dyDescent="0.2">
      <c r="S109" s="489">
        <v>274</v>
      </c>
      <c r="T109" s="497">
        <v>92</v>
      </c>
      <c r="U109" s="489">
        <f>LARGE('JSM Eingabe+TW'!$DJ$32:$DU$62,S109)</f>
        <v>9.9999999999999995E-7</v>
      </c>
      <c r="V109" s="490">
        <f t="shared" si="2"/>
        <v>0</v>
      </c>
      <c r="W109" s="490">
        <f t="shared" si="3"/>
        <v>0</v>
      </c>
      <c r="X109" s="490">
        <f>E$31</f>
        <v>0</v>
      </c>
      <c r="Y109" s="490" t="str">
        <f>IF(U109&gt;'JSM Eingabe+TW'!$CU$92,'JSM Eingabe+TW'!$CU$92," ")</f>
        <v xml:space="preserve"> </v>
      </c>
    </row>
    <row r="110" spans="19:25" x14ac:dyDescent="0.2">
      <c r="S110" s="489">
        <v>273</v>
      </c>
      <c r="T110" s="497">
        <v>93</v>
      </c>
      <c r="U110" s="489">
        <f>LARGE('JSM Eingabe+TW'!$DJ$32:$DU$62,S110)</f>
        <v>9.9999999999999995E-7</v>
      </c>
      <c r="V110" s="490">
        <f t="shared" si="2"/>
        <v>0</v>
      </c>
      <c r="W110" s="490">
        <f t="shared" si="3"/>
        <v>0</v>
      </c>
      <c r="Y110" s="490" t="str">
        <f>IF(U110&gt;'JSM Eingabe+TW'!$CU$92,'JSM Eingabe+TW'!$CU$92," ")</f>
        <v xml:space="preserve"> </v>
      </c>
    </row>
    <row r="111" spans="19:25" x14ac:dyDescent="0.2">
      <c r="S111" s="489">
        <v>272</v>
      </c>
      <c r="T111" s="497">
        <v>94</v>
      </c>
      <c r="U111" s="489">
        <f>LARGE('JSM Eingabe+TW'!$DJ$32:$DU$62,S111)</f>
        <v>9.9999999999999995E-7</v>
      </c>
      <c r="V111" s="490">
        <f t="shared" si="2"/>
        <v>0</v>
      </c>
      <c r="W111" s="490">
        <f t="shared" si="3"/>
        <v>0</v>
      </c>
      <c r="Y111" s="490" t="str">
        <f>IF(U111&gt;'JSM Eingabe+TW'!$CU$92,'JSM Eingabe+TW'!$CU$92," ")</f>
        <v xml:space="preserve"> </v>
      </c>
    </row>
    <row r="112" spans="19:25" x14ac:dyDescent="0.2">
      <c r="S112" s="489">
        <v>271</v>
      </c>
      <c r="T112" s="497">
        <v>95</v>
      </c>
      <c r="U112" s="489">
        <f>LARGE('JSM Eingabe+TW'!$DJ$32:$DU$62,S112)</f>
        <v>9.9999999999999995E-7</v>
      </c>
      <c r="V112" s="490">
        <f t="shared" si="2"/>
        <v>0</v>
      </c>
      <c r="W112" s="490">
        <f t="shared" si="3"/>
        <v>0</v>
      </c>
      <c r="Y112" s="490" t="str">
        <f>IF(U112&gt;'JSM Eingabe+TW'!$CU$92,'JSM Eingabe+TW'!$CU$92," ")</f>
        <v xml:space="preserve"> </v>
      </c>
    </row>
    <row r="113" spans="19:25" x14ac:dyDescent="0.2">
      <c r="S113" s="489">
        <v>270</v>
      </c>
      <c r="T113" s="497">
        <v>96</v>
      </c>
      <c r="U113" s="489">
        <f>LARGE('JSM Eingabe+TW'!$DJ$32:$DU$62,S113)</f>
        <v>9.9999999999999995E-7</v>
      </c>
      <c r="V113" s="490">
        <f t="shared" si="2"/>
        <v>0</v>
      </c>
      <c r="W113" s="490">
        <f t="shared" si="3"/>
        <v>0</v>
      </c>
      <c r="Y113" s="490" t="str">
        <f>IF(U113&gt;'JSM Eingabe+TW'!$CU$92,'JSM Eingabe+TW'!$CU$92," ")</f>
        <v xml:space="preserve"> </v>
      </c>
    </row>
    <row r="114" spans="19:25" x14ac:dyDescent="0.2">
      <c r="S114" s="489">
        <v>269</v>
      </c>
      <c r="T114" s="497">
        <v>97</v>
      </c>
      <c r="U114" s="489">
        <f>LARGE('JSM Eingabe+TW'!$DJ$32:$DU$62,S114)</f>
        <v>9.9999999999999995E-7</v>
      </c>
      <c r="V114" s="490">
        <f t="shared" si="2"/>
        <v>0</v>
      </c>
      <c r="W114" s="490">
        <f t="shared" si="3"/>
        <v>0</v>
      </c>
      <c r="X114" s="490">
        <f>E$31</f>
        <v>0</v>
      </c>
      <c r="Y114" s="490" t="str">
        <f>IF(U114&gt;'JSM Eingabe+TW'!$CU$92,'JSM Eingabe+TW'!$CU$92," ")</f>
        <v xml:space="preserve"> </v>
      </c>
    </row>
    <row r="115" spans="19:25" x14ac:dyDescent="0.2">
      <c r="S115" s="489">
        <v>268</v>
      </c>
      <c r="T115" s="497">
        <v>98</v>
      </c>
      <c r="U115" s="489">
        <f>LARGE('JSM Eingabe+TW'!$DJ$32:$DU$62,S115)</f>
        <v>9.9999999999999995E-7</v>
      </c>
      <c r="V115" s="490">
        <f t="shared" si="2"/>
        <v>0</v>
      </c>
      <c r="W115" s="490">
        <f t="shared" si="3"/>
        <v>0</v>
      </c>
      <c r="Y115" s="490" t="str">
        <f>IF(U115&gt;'JSM Eingabe+TW'!$CU$92,'JSM Eingabe+TW'!$CU$92," ")</f>
        <v xml:space="preserve"> </v>
      </c>
    </row>
    <row r="116" spans="19:25" x14ac:dyDescent="0.2">
      <c r="S116" s="489">
        <v>267</v>
      </c>
      <c r="T116" s="497">
        <v>99</v>
      </c>
      <c r="U116" s="489">
        <f>LARGE('JSM Eingabe+TW'!$DJ$32:$DU$62,S116)</f>
        <v>9.9999999999999995E-7</v>
      </c>
      <c r="V116" s="490">
        <f t="shared" si="2"/>
        <v>0</v>
      </c>
      <c r="W116" s="490">
        <f t="shared" si="3"/>
        <v>0</v>
      </c>
      <c r="Y116" s="490" t="str">
        <f>IF(U116&gt;'JSM Eingabe+TW'!$CU$92,'JSM Eingabe+TW'!$CU$92," ")</f>
        <v xml:space="preserve"> </v>
      </c>
    </row>
    <row r="117" spans="19:25" x14ac:dyDescent="0.2">
      <c r="S117" s="489">
        <v>266</v>
      </c>
      <c r="T117" s="497">
        <v>100</v>
      </c>
      <c r="U117" s="489">
        <f>LARGE('JSM Eingabe+TW'!$DJ$32:$DU$62,S117)</f>
        <v>9.9999999999999995E-7</v>
      </c>
      <c r="V117" s="490">
        <f t="shared" si="2"/>
        <v>0</v>
      </c>
      <c r="W117" s="490">
        <f t="shared" si="3"/>
        <v>0</v>
      </c>
      <c r="Y117" s="490" t="str">
        <f>IF(U117&gt;'JSM Eingabe+TW'!$CU$92,'JSM Eingabe+TW'!$CU$92," ")</f>
        <v xml:space="preserve"> </v>
      </c>
    </row>
    <row r="118" spans="19:25" x14ac:dyDescent="0.2">
      <c r="S118" s="489">
        <v>265</v>
      </c>
      <c r="T118" s="497">
        <v>101</v>
      </c>
      <c r="U118" s="489">
        <f>LARGE('JSM Eingabe+TW'!$DJ$32:$DU$62,S118)</f>
        <v>9.9999999999999995E-7</v>
      </c>
      <c r="V118" s="490">
        <f t="shared" si="2"/>
        <v>0</v>
      </c>
      <c r="W118" s="490">
        <f t="shared" si="3"/>
        <v>0</v>
      </c>
      <c r="Y118" s="490" t="str">
        <f>IF(U118&gt;'JSM Eingabe+TW'!$CU$92,'JSM Eingabe+TW'!$CU$92," ")</f>
        <v xml:space="preserve"> </v>
      </c>
    </row>
    <row r="119" spans="19:25" x14ac:dyDescent="0.2">
      <c r="S119" s="489">
        <v>264</v>
      </c>
      <c r="T119" s="497">
        <v>102</v>
      </c>
      <c r="U119" s="489">
        <f>LARGE('JSM Eingabe+TW'!$DJ$32:$DU$62,S119)</f>
        <v>9.9999999999999995E-7</v>
      </c>
      <c r="V119" s="490">
        <f t="shared" si="2"/>
        <v>0</v>
      </c>
      <c r="W119" s="490">
        <f t="shared" si="3"/>
        <v>0</v>
      </c>
      <c r="X119" s="490">
        <f>E$31</f>
        <v>0</v>
      </c>
      <c r="Y119" s="490" t="str">
        <f>IF(U119&gt;'JSM Eingabe+TW'!$CU$92,'JSM Eingabe+TW'!$CU$92," ")</f>
        <v xml:space="preserve"> </v>
      </c>
    </row>
    <row r="120" spans="19:25" x14ac:dyDescent="0.2">
      <c r="S120" s="489">
        <v>263</v>
      </c>
      <c r="T120" s="497">
        <v>103</v>
      </c>
      <c r="U120" s="489">
        <f>LARGE('JSM Eingabe+TW'!$DJ$32:$DU$62,S120)</f>
        <v>9.9999999999999995E-7</v>
      </c>
      <c r="V120" s="490">
        <f t="shared" si="2"/>
        <v>0</v>
      </c>
      <c r="W120" s="490">
        <f t="shared" si="3"/>
        <v>0</v>
      </c>
      <c r="Y120" s="490" t="str">
        <f>IF(U120&gt;'JSM Eingabe+TW'!$CU$92,'JSM Eingabe+TW'!$CU$92," ")</f>
        <v xml:space="preserve"> </v>
      </c>
    </row>
    <row r="121" spans="19:25" x14ac:dyDescent="0.2">
      <c r="S121" s="489">
        <v>262</v>
      </c>
      <c r="T121" s="497">
        <v>104</v>
      </c>
      <c r="U121" s="489">
        <f>LARGE('JSM Eingabe+TW'!$DJ$32:$DU$62,S121)</f>
        <v>9.9999999999999995E-7</v>
      </c>
      <c r="V121" s="490">
        <f t="shared" si="2"/>
        <v>0</v>
      </c>
      <c r="W121" s="490">
        <f t="shared" si="3"/>
        <v>0</v>
      </c>
      <c r="Y121" s="490" t="str">
        <f>IF(U121&gt;'JSM Eingabe+TW'!$CU$92,'JSM Eingabe+TW'!$CU$92," ")</f>
        <v xml:space="preserve"> </v>
      </c>
    </row>
    <row r="122" spans="19:25" x14ac:dyDescent="0.2">
      <c r="S122" s="489">
        <v>261</v>
      </c>
      <c r="T122" s="497">
        <v>105</v>
      </c>
      <c r="U122" s="489">
        <f>LARGE('JSM Eingabe+TW'!$DJ$32:$DU$62,S122)</f>
        <v>9.9999999999999995E-7</v>
      </c>
      <c r="V122" s="490">
        <f t="shared" si="2"/>
        <v>0</v>
      </c>
      <c r="W122" s="490">
        <f t="shared" si="3"/>
        <v>0</v>
      </c>
      <c r="Y122" s="490" t="str">
        <f>IF(U122&gt;'JSM Eingabe+TW'!$CU$92,'JSM Eingabe+TW'!$CU$92," ")</f>
        <v xml:space="preserve"> </v>
      </c>
    </row>
    <row r="123" spans="19:25" x14ac:dyDescent="0.2">
      <c r="S123" s="489">
        <v>260</v>
      </c>
      <c r="T123" s="497">
        <v>106</v>
      </c>
      <c r="U123" s="489">
        <f>LARGE('JSM Eingabe+TW'!$DJ$32:$DU$62,S123)</f>
        <v>9.9999999999999995E-7</v>
      </c>
      <c r="V123" s="490">
        <f t="shared" si="2"/>
        <v>0</v>
      </c>
      <c r="W123" s="490">
        <f t="shared" si="3"/>
        <v>0</v>
      </c>
      <c r="Y123" s="490" t="str">
        <f>IF(U123&gt;'JSM Eingabe+TW'!$CU$92,'JSM Eingabe+TW'!$CU$92," ")</f>
        <v xml:space="preserve"> </v>
      </c>
    </row>
    <row r="124" spans="19:25" x14ac:dyDescent="0.2">
      <c r="S124" s="489">
        <v>259</v>
      </c>
      <c r="T124" s="497">
        <v>107</v>
      </c>
      <c r="U124" s="489">
        <f>LARGE('JSM Eingabe+TW'!$DJ$32:$DU$62,S124)</f>
        <v>9.9999999999999995E-7</v>
      </c>
      <c r="V124" s="490">
        <f t="shared" si="2"/>
        <v>0</v>
      </c>
      <c r="W124" s="490">
        <f t="shared" si="3"/>
        <v>0</v>
      </c>
      <c r="X124" s="490">
        <f>E$31</f>
        <v>0</v>
      </c>
      <c r="Y124" s="490" t="str">
        <f>IF(U124&gt;'JSM Eingabe+TW'!$CU$92,'JSM Eingabe+TW'!$CU$92," ")</f>
        <v xml:space="preserve"> </v>
      </c>
    </row>
    <row r="125" spans="19:25" x14ac:dyDescent="0.2">
      <c r="S125" s="489">
        <v>258</v>
      </c>
      <c r="T125" s="497">
        <v>108</v>
      </c>
      <c r="U125" s="489">
        <f>LARGE('JSM Eingabe+TW'!$DJ$32:$DU$62,S125)</f>
        <v>9.9999999999999995E-7</v>
      </c>
      <c r="V125" s="490">
        <f t="shared" si="2"/>
        <v>0</v>
      </c>
      <c r="W125" s="490">
        <f t="shared" si="3"/>
        <v>0</v>
      </c>
      <c r="Y125" s="490" t="str">
        <f>IF(U125&gt;'JSM Eingabe+TW'!$CU$92,'JSM Eingabe+TW'!$CU$92," ")</f>
        <v xml:space="preserve"> </v>
      </c>
    </row>
    <row r="126" spans="19:25" x14ac:dyDescent="0.2">
      <c r="S126" s="489">
        <v>257</v>
      </c>
      <c r="T126" s="497">
        <v>109</v>
      </c>
      <c r="U126" s="489">
        <f>LARGE('JSM Eingabe+TW'!$DJ$32:$DU$62,S126)</f>
        <v>9.9999999999999995E-7</v>
      </c>
      <c r="V126" s="490">
        <f t="shared" si="2"/>
        <v>0</v>
      </c>
      <c r="W126" s="490">
        <f t="shared" si="3"/>
        <v>0</v>
      </c>
      <c r="Y126" s="490" t="str">
        <f>IF(U126&gt;'JSM Eingabe+TW'!$CU$92,'JSM Eingabe+TW'!$CU$92," ")</f>
        <v xml:space="preserve"> </v>
      </c>
    </row>
    <row r="127" spans="19:25" x14ac:dyDescent="0.2">
      <c r="S127" s="489">
        <v>256</v>
      </c>
      <c r="T127" s="497">
        <v>110</v>
      </c>
      <c r="U127" s="489">
        <f>LARGE('JSM Eingabe+TW'!$DJ$32:$DU$62,S127)</f>
        <v>9.9999999999999995E-7</v>
      </c>
      <c r="V127" s="490">
        <f t="shared" si="2"/>
        <v>0</v>
      </c>
      <c r="W127" s="490">
        <f t="shared" si="3"/>
        <v>0</v>
      </c>
      <c r="Y127" s="490" t="str">
        <f>IF(U127&gt;'JSM Eingabe+TW'!$CU$92,'JSM Eingabe+TW'!$CU$92," ")</f>
        <v xml:space="preserve"> </v>
      </c>
    </row>
    <row r="128" spans="19:25" x14ac:dyDescent="0.2">
      <c r="S128" s="489">
        <v>255</v>
      </c>
      <c r="T128" s="497">
        <v>111</v>
      </c>
      <c r="U128" s="489">
        <f>LARGE('JSM Eingabe+TW'!$DJ$32:$DU$62,S128)</f>
        <v>9.9999999999999995E-7</v>
      </c>
      <c r="V128" s="490">
        <f t="shared" si="2"/>
        <v>0</v>
      </c>
      <c r="W128" s="490">
        <f t="shared" si="3"/>
        <v>0</v>
      </c>
      <c r="Y128" s="490" t="str">
        <f>IF(U128&gt;'JSM Eingabe+TW'!$CU$92,'JSM Eingabe+TW'!$CU$92," ")</f>
        <v xml:space="preserve"> </v>
      </c>
    </row>
    <row r="129" spans="19:25" x14ac:dyDescent="0.2">
      <c r="S129" s="489">
        <v>254</v>
      </c>
      <c r="T129" s="497">
        <v>112</v>
      </c>
      <c r="U129" s="489">
        <f>LARGE('JSM Eingabe+TW'!$DJ$32:$DU$62,S129)</f>
        <v>9.9999999999999995E-7</v>
      </c>
      <c r="V129" s="490">
        <f t="shared" si="2"/>
        <v>0</v>
      </c>
      <c r="W129" s="490">
        <f t="shared" si="3"/>
        <v>0</v>
      </c>
      <c r="X129" s="490">
        <f>E$31</f>
        <v>0</v>
      </c>
      <c r="Y129" s="490" t="str">
        <f>IF(U129&gt;'JSM Eingabe+TW'!$CU$92,'JSM Eingabe+TW'!$CU$92," ")</f>
        <v xml:space="preserve"> </v>
      </c>
    </row>
    <row r="130" spans="19:25" x14ac:dyDescent="0.2">
      <c r="S130" s="489">
        <v>253</v>
      </c>
      <c r="T130" s="497">
        <v>113</v>
      </c>
      <c r="U130" s="489">
        <f>LARGE('JSM Eingabe+TW'!$DJ$32:$DU$62,S130)</f>
        <v>9.9999999999999995E-7</v>
      </c>
      <c r="V130" s="490">
        <f t="shared" si="2"/>
        <v>0</v>
      </c>
      <c r="W130" s="490">
        <f t="shared" si="3"/>
        <v>0</v>
      </c>
      <c r="Y130" s="490" t="str">
        <f>IF(U130&gt;'JSM Eingabe+TW'!$CU$92,'JSM Eingabe+TW'!$CU$92," ")</f>
        <v xml:space="preserve"> </v>
      </c>
    </row>
    <row r="131" spans="19:25" x14ac:dyDescent="0.2">
      <c r="S131" s="489">
        <v>252</v>
      </c>
      <c r="T131" s="497">
        <v>114</v>
      </c>
      <c r="U131" s="489">
        <f>LARGE('JSM Eingabe+TW'!$DJ$32:$DU$62,S131)</f>
        <v>9.9999999999999995E-7</v>
      </c>
      <c r="V131" s="490">
        <f t="shared" si="2"/>
        <v>0</v>
      </c>
      <c r="W131" s="490">
        <f t="shared" si="3"/>
        <v>0</v>
      </c>
      <c r="Y131" s="490" t="str">
        <f>IF(U131&gt;'JSM Eingabe+TW'!$CU$92,'JSM Eingabe+TW'!$CU$92," ")</f>
        <v xml:space="preserve"> </v>
      </c>
    </row>
    <row r="132" spans="19:25" x14ac:dyDescent="0.2">
      <c r="S132" s="489">
        <v>251</v>
      </c>
      <c r="T132" s="497">
        <v>115</v>
      </c>
      <c r="U132" s="489">
        <f>LARGE('JSM Eingabe+TW'!$DJ$32:$DU$62,S132)</f>
        <v>9.9999999999999995E-7</v>
      </c>
      <c r="V132" s="490">
        <f t="shared" si="2"/>
        <v>0</v>
      </c>
      <c r="W132" s="490">
        <f t="shared" si="3"/>
        <v>0</v>
      </c>
      <c r="Y132" s="490" t="str">
        <f>IF(U132&gt;'JSM Eingabe+TW'!$CU$92,'JSM Eingabe+TW'!$CU$92," ")</f>
        <v xml:space="preserve"> </v>
      </c>
    </row>
    <row r="133" spans="19:25" x14ac:dyDescent="0.2">
      <c r="S133" s="489">
        <v>250</v>
      </c>
      <c r="T133" s="497">
        <v>116</v>
      </c>
      <c r="U133" s="489">
        <f>LARGE('JSM Eingabe+TW'!$DJ$32:$DU$62,S133)</f>
        <v>9.9999999999999995E-7</v>
      </c>
      <c r="V133" s="490">
        <f t="shared" si="2"/>
        <v>0</v>
      </c>
      <c r="W133" s="490">
        <f t="shared" si="3"/>
        <v>0</v>
      </c>
      <c r="Y133" s="490" t="str">
        <f>IF(U133&gt;'JSM Eingabe+TW'!$CU$92,'JSM Eingabe+TW'!$CU$92," ")</f>
        <v xml:space="preserve"> </v>
      </c>
    </row>
    <row r="134" spans="19:25" x14ac:dyDescent="0.2">
      <c r="S134" s="489">
        <v>249</v>
      </c>
      <c r="T134" s="497">
        <v>117</v>
      </c>
      <c r="U134" s="489">
        <f>LARGE('JSM Eingabe+TW'!$DJ$32:$DU$62,S134)</f>
        <v>9.9999999999999995E-7</v>
      </c>
      <c r="V134" s="490">
        <f t="shared" si="2"/>
        <v>0</v>
      </c>
      <c r="W134" s="490">
        <f t="shared" si="3"/>
        <v>0</v>
      </c>
      <c r="X134" s="490">
        <f>E$31</f>
        <v>0</v>
      </c>
      <c r="Y134" s="490" t="str">
        <f>IF(U134&gt;'JSM Eingabe+TW'!$CU$92,'JSM Eingabe+TW'!$CU$92," ")</f>
        <v xml:space="preserve"> </v>
      </c>
    </row>
    <row r="135" spans="19:25" x14ac:dyDescent="0.2">
      <c r="S135" s="489">
        <v>248</v>
      </c>
      <c r="T135" s="497">
        <v>118</v>
      </c>
      <c r="U135" s="489">
        <f>LARGE('JSM Eingabe+TW'!$DJ$32:$DU$62,S135)</f>
        <v>9.9999999999999995E-7</v>
      </c>
      <c r="V135" s="490">
        <f t="shared" si="2"/>
        <v>0</v>
      </c>
      <c r="W135" s="490">
        <f t="shared" si="3"/>
        <v>0</v>
      </c>
      <c r="Y135" s="490" t="str">
        <f>IF(U135&gt;'JSM Eingabe+TW'!$CU$92,'JSM Eingabe+TW'!$CU$92," ")</f>
        <v xml:space="preserve"> </v>
      </c>
    </row>
    <row r="136" spans="19:25" x14ac:dyDescent="0.2">
      <c r="S136" s="489">
        <v>247</v>
      </c>
      <c r="T136" s="497">
        <v>119</v>
      </c>
      <c r="U136" s="489">
        <f>LARGE('JSM Eingabe+TW'!$DJ$32:$DU$62,S136)</f>
        <v>9.9999999999999995E-7</v>
      </c>
      <c r="V136" s="490">
        <f t="shared" si="2"/>
        <v>0</v>
      </c>
      <c r="W136" s="490">
        <f t="shared" si="3"/>
        <v>0</v>
      </c>
      <c r="Y136" s="490" t="str">
        <f>IF(U136&gt;'JSM Eingabe+TW'!$CU$92,'JSM Eingabe+TW'!$CU$92," ")</f>
        <v xml:space="preserve"> </v>
      </c>
    </row>
    <row r="137" spans="19:25" x14ac:dyDescent="0.2">
      <c r="S137" s="489">
        <v>246</v>
      </c>
      <c r="T137" s="497">
        <v>120</v>
      </c>
      <c r="U137" s="489">
        <f>LARGE('JSM Eingabe+TW'!$DJ$32:$DU$62,S137)</f>
        <v>9.9999999999999995E-7</v>
      </c>
      <c r="V137" s="490">
        <f t="shared" si="2"/>
        <v>0</v>
      </c>
      <c r="W137" s="490">
        <f t="shared" si="3"/>
        <v>0</v>
      </c>
      <c r="Y137" s="490" t="str">
        <f>IF(U137&gt;'JSM Eingabe+TW'!$CU$92,'JSM Eingabe+TW'!$CU$92," ")</f>
        <v xml:space="preserve"> </v>
      </c>
    </row>
    <row r="138" spans="19:25" x14ac:dyDescent="0.2">
      <c r="S138" s="489">
        <v>245</v>
      </c>
      <c r="T138" s="497">
        <v>121</v>
      </c>
      <c r="U138" s="489">
        <f>LARGE('JSM Eingabe+TW'!$DJ$32:$DU$62,S138)</f>
        <v>9.9999999999999995E-7</v>
      </c>
      <c r="V138" s="490">
        <f t="shared" si="2"/>
        <v>0</v>
      </c>
      <c r="W138" s="490">
        <f t="shared" si="3"/>
        <v>0</v>
      </c>
      <c r="Y138" s="490" t="str">
        <f>IF(U138&gt;'JSM Eingabe+TW'!$CU$92,'JSM Eingabe+TW'!$CU$92," ")</f>
        <v xml:space="preserve"> </v>
      </c>
    </row>
    <row r="139" spans="19:25" x14ac:dyDescent="0.2">
      <c r="S139" s="489">
        <v>244</v>
      </c>
      <c r="T139" s="497">
        <v>122</v>
      </c>
      <c r="U139" s="489">
        <f>LARGE('JSM Eingabe+TW'!$DJ$32:$DU$62,S139)</f>
        <v>9.9999999999999995E-7</v>
      </c>
      <c r="V139" s="490">
        <f t="shared" si="2"/>
        <v>0</v>
      </c>
      <c r="W139" s="490">
        <f t="shared" si="3"/>
        <v>0</v>
      </c>
      <c r="X139" s="490">
        <f>E$31</f>
        <v>0</v>
      </c>
      <c r="Y139" s="490" t="str">
        <f>IF(U139&gt;'JSM Eingabe+TW'!$CU$92,'JSM Eingabe+TW'!$CU$92," ")</f>
        <v xml:space="preserve"> </v>
      </c>
    </row>
    <row r="140" spans="19:25" x14ac:dyDescent="0.2">
      <c r="S140" s="489">
        <v>243</v>
      </c>
      <c r="T140" s="497">
        <v>123</v>
      </c>
      <c r="U140" s="489">
        <f>LARGE('JSM Eingabe+TW'!$DJ$32:$DU$62,S140)</f>
        <v>9.9999999999999995E-7</v>
      </c>
      <c r="V140" s="490">
        <f t="shared" si="2"/>
        <v>0</v>
      </c>
      <c r="W140" s="490">
        <f t="shared" si="3"/>
        <v>0</v>
      </c>
      <c r="Y140" s="490" t="str">
        <f>IF(U140&gt;'JSM Eingabe+TW'!$CU$92,'JSM Eingabe+TW'!$CU$92," ")</f>
        <v xml:space="preserve"> </v>
      </c>
    </row>
    <row r="141" spans="19:25" x14ac:dyDescent="0.2">
      <c r="S141" s="489">
        <v>242</v>
      </c>
      <c r="T141" s="497">
        <v>124</v>
      </c>
      <c r="U141" s="489">
        <f>LARGE('JSM Eingabe+TW'!$DJ$32:$DU$62,S141)</f>
        <v>9.9999999999999995E-7</v>
      </c>
      <c r="V141" s="490">
        <f t="shared" si="2"/>
        <v>0</v>
      </c>
      <c r="W141" s="490">
        <f t="shared" si="3"/>
        <v>0</v>
      </c>
      <c r="Y141" s="490" t="str">
        <f>IF(U141&gt;'JSM Eingabe+TW'!$CU$92,'JSM Eingabe+TW'!$CU$92," ")</f>
        <v xml:space="preserve"> </v>
      </c>
    </row>
    <row r="142" spans="19:25" x14ac:dyDescent="0.2">
      <c r="S142" s="489">
        <v>241</v>
      </c>
      <c r="T142" s="497">
        <v>125</v>
      </c>
      <c r="U142" s="489">
        <f>LARGE('JSM Eingabe+TW'!$DJ$32:$DU$62,S142)</f>
        <v>9.9999999999999995E-7</v>
      </c>
      <c r="V142" s="490">
        <f t="shared" si="2"/>
        <v>0</v>
      </c>
      <c r="W142" s="490">
        <f t="shared" si="3"/>
        <v>0</v>
      </c>
      <c r="Y142" s="490" t="str">
        <f>IF(U142&gt;'JSM Eingabe+TW'!$CU$92,'JSM Eingabe+TW'!$CU$92," ")</f>
        <v xml:space="preserve"> </v>
      </c>
    </row>
    <row r="143" spans="19:25" x14ac:dyDescent="0.2">
      <c r="S143" s="489">
        <v>240</v>
      </c>
      <c r="T143" s="497">
        <v>126</v>
      </c>
      <c r="U143" s="489">
        <f>LARGE('JSM Eingabe+TW'!$DJ$32:$DU$62,S143)</f>
        <v>9.9999999999999995E-7</v>
      </c>
      <c r="V143" s="490">
        <f t="shared" si="2"/>
        <v>0</v>
      </c>
      <c r="W143" s="490">
        <f t="shared" si="3"/>
        <v>0</v>
      </c>
      <c r="Y143" s="490" t="str">
        <f>IF(U143&gt;'JSM Eingabe+TW'!$CU$92,'JSM Eingabe+TW'!$CU$92," ")</f>
        <v xml:space="preserve"> </v>
      </c>
    </row>
    <row r="144" spans="19:25" x14ac:dyDescent="0.2">
      <c r="S144" s="489">
        <v>239</v>
      </c>
      <c r="T144" s="497">
        <v>127</v>
      </c>
      <c r="U144" s="489">
        <f>LARGE('JSM Eingabe+TW'!$DJ$32:$DU$62,S144)</f>
        <v>9.9999999999999995E-7</v>
      </c>
      <c r="V144" s="490">
        <f t="shared" si="2"/>
        <v>0</v>
      </c>
      <c r="W144" s="490">
        <f t="shared" si="3"/>
        <v>0</v>
      </c>
      <c r="X144" s="490">
        <f>E$31</f>
        <v>0</v>
      </c>
      <c r="Y144" s="490" t="str">
        <f>IF(U144&gt;'JSM Eingabe+TW'!$CU$92,'JSM Eingabe+TW'!$CU$92," ")</f>
        <v xml:space="preserve"> </v>
      </c>
    </row>
    <row r="145" spans="19:25" x14ac:dyDescent="0.2">
      <c r="S145" s="489">
        <v>238</v>
      </c>
      <c r="T145" s="497">
        <v>128</v>
      </c>
      <c r="U145" s="489">
        <f>LARGE('JSM Eingabe+TW'!$DJ$32:$DU$62,S145)</f>
        <v>9.9999999999999995E-7</v>
      </c>
      <c r="V145" s="490">
        <f t="shared" si="2"/>
        <v>0</v>
      </c>
      <c r="W145" s="490">
        <f t="shared" si="3"/>
        <v>0</v>
      </c>
      <c r="Y145" s="490" t="str">
        <f>IF(U145&gt;'JSM Eingabe+TW'!$CU$92,'JSM Eingabe+TW'!$CU$92," ")</f>
        <v xml:space="preserve"> </v>
      </c>
    </row>
    <row r="146" spans="19:25" x14ac:dyDescent="0.2">
      <c r="S146" s="489">
        <v>237</v>
      </c>
      <c r="T146" s="497">
        <v>129</v>
      </c>
      <c r="U146" s="489">
        <f>LARGE('JSM Eingabe+TW'!$DJ$32:$DU$62,S146)</f>
        <v>9.9999999999999995E-7</v>
      </c>
      <c r="V146" s="490">
        <f t="shared" ref="V146:V209" si="4">IF(T146=V$13,LARGE(U$18:U$382,1),0)</f>
        <v>0</v>
      </c>
      <c r="W146" s="490">
        <f t="shared" ref="W146:W209" si="5">IF(T146=W$13,LARGE(U$18:U$382,1),0)</f>
        <v>0</v>
      </c>
      <c r="Y146" s="490" t="str">
        <f>IF(U146&gt;'JSM Eingabe+TW'!$CU$92,'JSM Eingabe+TW'!$CU$92," ")</f>
        <v xml:space="preserve"> </v>
      </c>
    </row>
    <row r="147" spans="19:25" x14ac:dyDescent="0.2">
      <c r="S147" s="489">
        <v>236</v>
      </c>
      <c r="T147" s="497">
        <v>130</v>
      </c>
      <c r="U147" s="489">
        <f>LARGE('JSM Eingabe+TW'!$DJ$32:$DU$62,S147)</f>
        <v>9.9999999999999995E-7</v>
      </c>
      <c r="V147" s="490">
        <f t="shared" si="4"/>
        <v>0</v>
      </c>
      <c r="W147" s="490">
        <f t="shared" si="5"/>
        <v>0</v>
      </c>
      <c r="Y147" s="490" t="str">
        <f>IF(U147&gt;'JSM Eingabe+TW'!$CU$92,'JSM Eingabe+TW'!$CU$92," ")</f>
        <v xml:space="preserve"> </v>
      </c>
    </row>
    <row r="148" spans="19:25" x14ac:dyDescent="0.2">
      <c r="S148" s="489">
        <v>235</v>
      </c>
      <c r="T148" s="497">
        <v>131</v>
      </c>
      <c r="U148" s="489">
        <f>LARGE('JSM Eingabe+TW'!$DJ$32:$DU$62,S148)</f>
        <v>9.9999999999999995E-7</v>
      </c>
      <c r="V148" s="490">
        <f t="shared" si="4"/>
        <v>0</v>
      </c>
      <c r="W148" s="490">
        <f t="shared" si="5"/>
        <v>0</v>
      </c>
      <c r="Y148" s="490" t="str">
        <f>IF(U148&gt;'JSM Eingabe+TW'!$CU$92,'JSM Eingabe+TW'!$CU$92," ")</f>
        <v xml:space="preserve"> </v>
      </c>
    </row>
    <row r="149" spans="19:25" x14ac:dyDescent="0.2">
      <c r="S149" s="489">
        <v>234</v>
      </c>
      <c r="T149" s="497">
        <v>132</v>
      </c>
      <c r="U149" s="489">
        <f>LARGE('JSM Eingabe+TW'!$DJ$32:$DU$62,S149)</f>
        <v>9.9999999999999995E-7</v>
      </c>
      <c r="V149" s="490">
        <f t="shared" si="4"/>
        <v>0</v>
      </c>
      <c r="W149" s="490">
        <f t="shared" si="5"/>
        <v>0</v>
      </c>
      <c r="X149" s="490">
        <f>E$31</f>
        <v>0</v>
      </c>
      <c r="Y149" s="490" t="str">
        <f>IF(U149&gt;'JSM Eingabe+TW'!$CU$92,'JSM Eingabe+TW'!$CU$92," ")</f>
        <v xml:space="preserve"> </v>
      </c>
    </row>
    <row r="150" spans="19:25" x14ac:dyDescent="0.2">
      <c r="S150" s="489">
        <v>233</v>
      </c>
      <c r="T150" s="497">
        <v>133</v>
      </c>
      <c r="U150" s="489">
        <f>LARGE('JSM Eingabe+TW'!$DJ$32:$DU$62,S150)</f>
        <v>9.9999999999999995E-7</v>
      </c>
      <c r="V150" s="490">
        <f t="shared" si="4"/>
        <v>0</v>
      </c>
      <c r="W150" s="490">
        <f t="shared" si="5"/>
        <v>0</v>
      </c>
      <c r="Y150" s="490" t="str">
        <f>IF(U150&gt;'JSM Eingabe+TW'!$CU$92,'JSM Eingabe+TW'!$CU$92," ")</f>
        <v xml:space="preserve"> </v>
      </c>
    </row>
    <row r="151" spans="19:25" x14ac:dyDescent="0.2">
      <c r="S151" s="489">
        <v>232</v>
      </c>
      <c r="T151" s="497">
        <v>134</v>
      </c>
      <c r="U151" s="489">
        <f>LARGE('JSM Eingabe+TW'!$DJ$32:$DU$62,S151)</f>
        <v>9.9999999999999995E-7</v>
      </c>
      <c r="V151" s="490">
        <f t="shared" si="4"/>
        <v>0</v>
      </c>
      <c r="W151" s="490">
        <f t="shared" si="5"/>
        <v>0</v>
      </c>
      <c r="Y151" s="490" t="str">
        <f>IF(U151&gt;'JSM Eingabe+TW'!$CU$92,'JSM Eingabe+TW'!$CU$92," ")</f>
        <v xml:space="preserve"> </v>
      </c>
    </row>
    <row r="152" spans="19:25" x14ac:dyDescent="0.2">
      <c r="S152" s="489">
        <v>231</v>
      </c>
      <c r="T152" s="497">
        <v>135</v>
      </c>
      <c r="U152" s="489">
        <f>LARGE('JSM Eingabe+TW'!$DJ$32:$DU$62,S152)</f>
        <v>9.9999999999999995E-7</v>
      </c>
      <c r="V152" s="490">
        <f t="shared" si="4"/>
        <v>0</v>
      </c>
      <c r="W152" s="490">
        <f t="shared" si="5"/>
        <v>0</v>
      </c>
      <c r="Y152" s="490" t="str">
        <f>IF(U152&gt;'JSM Eingabe+TW'!$CU$92,'JSM Eingabe+TW'!$CU$92," ")</f>
        <v xml:space="preserve"> </v>
      </c>
    </row>
    <row r="153" spans="19:25" x14ac:dyDescent="0.2">
      <c r="S153" s="489">
        <v>230</v>
      </c>
      <c r="T153" s="497">
        <v>136</v>
      </c>
      <c r="U153" s="489">
        <f>LARGE('JSM Eingabe+TW'!$DJ$32:$DU$62,S153)</f>
        <v>9.9999999999999995E-7</v>
      </c>
      <c r="V153" s="490">
        <f t="shared" si="4"/>
        <v>0</v>
      </c>
      <c r="W153" s="490">
        <f t="shared" si="5"/>
        <v>0</v>
      </c>
      <c r="Y153" s="490" t="str">
        <f>IF(U153&gt;'JSM Eingabe+TW'!$CU$92,'JSM Eingabe+TW'!$CU$92," ")</f>
        <v xml:space="preserve"> </v>
      </c>
    </row>
    <row r="154" spans="19:25" x14ac:dyDescent="0.2">
      <c r="S154" s="489">
        <v>229</v>
      </c>
      <c r="T154" s="497">
        <v>137</v>
      </c>
      <c r="U154" s="489">
        <f>LARGE('JSM Eingabe+TW'!$DJ$32:$DU$62,S154)</f>
        <v>9.9999999999999995E-7</v>
      </c>
      <c r="V154" s="490">
        <f t="shared" si="4"/>
        <v>0</v>
      </c>
      <c r="W154" s="490">
        <f t="shared" si="5"/>
        <v>0</v>
      </c>
      <c r="X154" s="490">
        <f>E$31</f>
        <v>0</v>
      </c>
      <c r="Y154" s="490" t="str">
        <f>IF(U154&gt;'JSM Eingabe+TW'!$CU$92,'JSM Eingabe+TW'!$CU$92," ")</f>
        <v xml:space="preserve"> </v>
      </c>
    </row>
    <row r="155" spans="19:25" x14ac:dyDescent="0.2">
      <c r="S155" s="489">
        <v>228</v>
      </c>
      <c r="T155" s="497">
        <v>138</v>
      </c>
      <c r="U155" s="489">
        <f>LARGE('JSM Eingabe+TW'!$DJ$32:$DU$62,S155)</f>
        <v>9.9999999999999995E-7</v>
      </c>
      <c r="V155" s="490">
        <f t="shared" si="4"/>
        <v>0</v>
      </c>
      <c r="W155" s="490">
        <f t="shared" si="5"/>
        <v>0</v>
      </c>
      <c r="Y155" s="490" t="str">
        <f>IF(U155&gt;'JSM Eingabe+TW'!$CU$92,'JSM Eingabe+TW'!$CU$92," ")</f>
        <v xml:space="preserve"> </v>
      </c>
    </row>
    <row r="156" spans="19:25" x14ac:dyDescent="0.2">
      <c r="S156" s="489">
        <v>227</v>
      </c>
      <c r="T156" s="497">
        <v>139</v>
      </c>
      <c r="U156" s="489">
        <f>LARGE('JSM Eingabe+TW'!$DJ$32:$DU$62,S156)</f>
        <v>9.9999999999999995E-7</v>
      </c>
      <c r="V156" s="490">
        <f t="shared" si="4"/>
        <v>0</v>
      </c>
      <c r="W156" s="490">
        <f t="shared" si="5"/>
        <v>0</v>
      </c>
      <c r="Y156" s="490" t="str">
        <f>IF(U156&gt;'JSM Eingabe+TW'!$CU$92,'JSM Eingabe+TW'!$CU$92," ")</f>
        <v xml:space="preserve"> </v>
      </c>
    </row>
    <row r="157" spans="19:25" x14ac:dyDescent="0.2">
      <c r="S157" s="489">
        <v>226</v>
      </c>
      <c r="T157" s="497">
        <v>140</v>
      </c>
      <c r="U157" s="489">
        <f>LARGE('JSM Eingabe+TW'!$DJ$32:$DU$62,S157)</f>
        <v>9.9999999999999995E-7</v>
      </c>
      <c r="V157" s="490">
        <f t="shared" si="4"/>
        <v>0</v>
      </c>
      <c r="W157" s="490">
        <f t="shared" si="5"/>
        <v>0</v>
      </c>
      <c r="Y157" s="490" t="str">
        <f>IF(U157&gt;'JSM Eingabe+TW'!$CU$92,'JSM Eingabe+TW'!$CU$92," ")</f>
        <v xml:space="preserve"> </v>
      </c>
    </row>
    <row r="158" spans="19:25" x14ac:dyDescent="0.2">
      <c r="S158" s="489">
        <v>225</v>
      </c>
      <c r="T158" s="497">
        <v>141</v>
      </c>
      <c r="U158" s="489">
        <f>LARGE('JSM Eingabe+TW'!$DJ$32:$DU$62,S158)</f>
        <v>9.9999999999999995E-7</v>
      </c>
      <c r="V158" s="490">
        <f t="shared" si="4"/>
        <v>0</v>
      </c>
      <c r="W158" s="490">
        <f t="shared" si="5"/>
        <v>0</v>
      </c>
      <c r="Y158" s="490" t="str">
        <f>IF(U158&gt;'JSM Eingabe+TW'!$CU$92,'JSM Eingabe+TW'!$CU$92," ")</f>
        <v xml:space="preserve"> </v>
      </c>
    </row>
    <row r="159" spans="19:25" x14ac:dyDescent="0.2">
      <c r="S159" s="489">
        <v>224</v>
      </c>
      <c r="T159" s="497">
        <v>142</v>
      </c>
      <c r="U159" s="489">
        <f>LARGE('JSM Eingabe+TW'!$DJ$32:$DU$62,S159)</f>
        <v>9.9999999999999995E-7</v>
      </c>
      <c r="V159" s="490">
        <f t="shared" si="4"/>
        <v>0</v>
      </c>
      <c r="W159" s="490">
        <f t="shared" si="5"/>
        <v>0</v>
      </c>
      <c r="X159" s="490">
        <f>E$31</f>
        <v>0</v>
      </c>
      <c r="Y159" s="490" t="str">
        <f>IF(U159&gt;'JSM Eingabe+TW'!$CU$92,'JSM Eingabe+TW'!$CU$92," ")</f>
        <v xml:space="preserve"> </v>
      </c>
    </row>
    <row r="160" spans="19:25" x14ac:dyDescent="0.2">
      <c r="S160" s="489">
        <v>223</v>
      </c>
      <c r="T160" s="497">
        <v>143</v>
      </c>
      <c r="U160" s="489">
        <f>LARGE('JSM Eingabe+TW'!$DJ$32:$DU$62,S160)</f>
        <v>9.9999999999999995E-7</v>
      </c>
      <c r="V160" s="490">
        <f t="shared" si="4"/>
        <v>0</v>
      </c>
      <c r="W160" s="490">
        <f t="shared" si="5"/>
        <v>0</v>
      </c>
      <c r="Y160" s="490" t="str">
        <f>IF(U160&gt;'JSM Eingabe+TW'!$CU$92,'JSM Eingabe+TW'!$CU$92," ")</f>
        <v xml:space="preserve"> </v>
      </c>
    </row>
    <row r="161" spans="19:25" x14ac:dyDescent="0.2">
      <c r="S161" s="489">
        <v>222</v>
      </c>
      <c r="T161" s="497">
        <v>144</v>
      </c>
      <c r="U161" s="489">
        <f>LARGE('JSM Eingabe+TW'!$DJ$32:$DU$62,S161)</f>
        <v>9.9999999999999995E-7</v>
      </c>
      <c r="V161" s="490">
        <f t="shared" si="4"/>
        <v>0</v>
      </c>
      <c r="W161" s="490">
        <f t="shared" si="5"/>
        <v>0</v>
      </c>
      <c r="Y161" s="490" t="str">
        <f>IF(U161&gt;'JSM Eingabe+TW'!$CU$92,'JSM Eingabe+TW'!$CU$92," ")</f>
        <v xml:space="preserve"> </v>
      </c>
    </row>
    <row r="162" spans="19:25" x14ac:dyDescent="0.2">
      <c r="S162" s="489">
        <v>221</v>
      </c>
      <c r="T162" s="497">
        <v>145</v>
      </c>
      <c r="U162" s="489">
        <f>LARGE('JSM Eingabe+TW'!$DJ$32:$DU$62,S162)</f>
        <v>9.9999999999999995E-7</v>
      </c>
      <c r="V162" s="490">
        <f t="shared" si="4"/>
        <v>0</v>
      </c>
      <c r="W162" s="490">
        <f t="shared" si="5"/>
        <v>0</v>
      </c>
      <c r="Y162" s="490" t="str">
        <f>IF(U162&gt;'JSM Eingabe+TW'!$CU$92,'JSM Eingabe+TW'!$CU$92," ")</f>
        <v xml:space="preserve"> </v>
      </c>
    </row>
    <row r="163" spans="19:25" x14ac:dyDescent="0.2">
      <c r="S163" s="489">
        <v>220</v>
      </c>
      <c r="T163" s="497">
        <v>146</v>
      </c>
      <c r="U163" s="489">
        <f>LARGE('JSM Eingabe+TW'!$DJ$32:$DU$62,S163)</f>
        <v>9.9999999999999995E-7</v>
      </c>
      <c r="V163" s="490">
        <f t="shared" si="4"/>
        <v>0</v>
      </c>
      <c r="W163" s="490">
        <f t="shared" si="5"/>
        <v>0</v>
      </c>
      <c r="Y163" s="490" t="str">
        <f>IF(U163&gt;'JSM Eingabe+TW'!$CU$92,'JSM Eingabe+TW'!$CU$92," ")</f>
        <v xml:space="preserve"> </v>
      </c>
    </row>
    <row r="164" spans="19:25" x14ac:dyDescent="0.2">
      <c r="S164" s="489">
        <v>219</v>
      </c>
      <c r="T164" s="497">
        <v>147</v>
      </c>
      <c r="U164" s="489">
        <f>LARGE('JSM Eingabe+TW'!$DJ$32:$DU$62,S164)</f>
        <v>9.9999999999999995E-7</v>
      </c>
      <c r="V164" s="490">
        <f t="shared" si="4"/>
        <v>0</v>
      </c>
      <c r="W164" s="490">
        <f t="shared" si="5"/>
        <v>0</v>
      </c>
      <c r="X164" s="490">
        <f>E$31</f>
        <v>0</v>
      </c>
      <c r="Y164" s="490" t="str">
        <f>IF(U164&gt;'JSM Eingabe+TW'!$CU$92,'JSM Eingabe+TW'!$CU$92," ")</f>
        <v xml:space="preserve"> </v>
      </c>
    </row>
    <row r="165" spans="19:25" x14ac:dyDescent="0.2">
      <c r="S165" s="489">
        <v>218</v>
      </c>
      <c r="T165" s="497">
        <v>148</v>
      </c>
      <c r="U165" s="489">
        <f>LARGE('JSM Eingabe+TW'!$DJ$32:$DU$62,S165)</f>
        <v>9.9999999999999995E-7</v>
      </c>
      <c r="V165" s="490">
        <f t="shared" si="4"/>
        <v>0</v>
      </c>
      <c r="W165" s="490">
        <f t="shared" si="5"/>
        <v>0</v>
      </c>
      <c r="Y165" s="490" t="str">
        <f>IF(U165&gt;'JSM Eingabe+TW'!$CU$92,'JSM Eingabe+TW'!$CU$92," ")</f>
        <v xml:space="preserve"> </v>
      </c>
    </row>
    <row r="166" spans="19:25" x14ac:dyDescent="0.2">
      <c r="S166" s="489">
        <v>217</v>
      </c>
      <c r="T166" s="497">
        <v>149</v>
      </c>
      <c r="U166" s="489">
        <f>LARGE('JSM Eingabe+TW'!$DJ$32:$DU$62,S166)</f>
        <v>9.9999999999999995E-7</v>
      </c>
      <c r="V166" s="490">
        <f t="shared" si="4"/>
        <v>0</v>
      </c>
      <c r="W166" s="490">
        <f t="shared" si="5"/>
        <v>0</v>
      </c>
      <c r="Y166" s="490" t="str">
        <f>IF(U166&gt;'JSM Eingabe+TW'!$CU$92,'JSM Eingabe+TW'!$CU$92," ")</f>
        <v xml:space="preserve"> </v>
      </c>
    </row>
    <row r="167" spans="19:25" x14ac:dyDescent="0.2">
      <c r="S167" s="489">
        <v>216</v>
      </c>
      <c r="T167" s="497">
        <v>150</v>
      </c>
      <c r="U167" s="489">
        <f>LARGE('JSM Eingabe+TW'!$DJ$32:$DU$62,S167)</f>
        <v>9.9999999999999995E-7</v>
      </c>
      <c r="V167" s="490">
        <f t="shared" si="4"/>
        <v>0</v>
      </c>
      <c r="W167" s="490">
        <f t="shared" si="5"/>
        <v>0</v>
      </c>
      <c r="Y167" s="490" t="str">
        <f>IF(U167&gt;'JSM Eingabe+TW'!$CU$92,'JSM Eingabe+TW'!$CU$92," ")</f>
        <v xml:space="preserve"> </v>
      </c>
    </row>
    <row r="168" spans="19:25" x14ac:dyDescent="0.2">
      <c r="S168" s="489">
        <v>215</v>
      </c>
      <c r="T168" s="497">
        <v>151</v>
      </c>
      <c r="U168" s="489">
        <f>LARGE('JSM Eingabe+TW'!$DJ$32:$DU$62,S168)</f>
        <v>9.9999999999999995E-7</v>
      </c>
      <c r="V168" s="490">
        <f t="shared" si="4"/>
        <v>0</v>
      </c>
      <c r="W168" s="490">
        <f t="shared" si="5"/>
        <v>0</v>
      </c>
      <c r="Y168" s="490" t="str">
        <f>IF(U168&gt;'JSM Eingabe+TW'!$CU$92,'JSM Eingabe+TW'!$CU$92," ")</f>
        <v xml:space="preserve"> </v>
      </c>
    </row>
    <row r="169" spans="19:25" x14ac:dyDescent="0.2">
      <c r="S169" s="489">
        <v>214</v>
      </c>
      <c r="T169" s="497">
        <v>152</v>
      </c>
      <c r="U169" s="489">
        <f>LARGE('JSM Eingabe+TW'!$DJ$32:$DU$62,S169)</f>
        <v>9.9999999999999995E-7</v>
      </c>
      <c r="V169" s="490">
        <f t="shared" si="4"/>
        <v>0</v>
      </c>
      <c r="W169" s="490">
        <f t="shared" si="5"/>
        <v>0</v>
      </c>
      <c r="Y169" s="490" t="str">
        <f>IF(U169&gt;'JSM Eingabe+TW'!$CU$92,'JSM Eingabe+TW'!$CU$92," ")</f>
        <v xml:space="preserve"> </v>
      </c>
    </row>
    <row r="170" spans="19:25" x14ac:dyDescent="0.2">
      <c r="S170" s="489">
        <v>213</v>
      </c>
      <c r="T170" s="497">
        <v>153</v>
      </c>
      <c r="U170" s="489">
        <f>LARGE('JSM Eingabe+TW'!$DJ$32:$DU$62,S170)</f>
        <v>9.9999999999999995E-7</v>
      </c>
      <c r="V170" s="490">
        <f t="shared" si="4"/>
        <v>0</v>
      </c>
      <c r="W170" s="490">
        <f t="shared" si="5"/>
        <v>0</v>
      </c>
      <c r="X170" s="490">
        <f>E$31</f>
        <v>0</v>
      </c>
      <c r="Y170" s="490" t="str">
        <f>IF(U170&gt;'JSM Eingabe+TW'!$CU$92,'JSM Eingabe+TW'!$CU$92," ")</f>
        <v xml:space="preserve"> </v>
      </c>
    </row>
    <row r="171" spans="19:25" x14ac:dyDescent="0.2">
      <c r="S171" s="489">
        <v>212</v>
      </c>
      <c r="T171" s="497">
        <v>154</v>
      </c>
      <c r="U171" s="489">
        <f>LARGE('JSM Eingabe+TW'!$DJ$32:$DU$62,S171)</f>
        <v>9.9999999999999995E-7</v>
      </c>
      <c r="V171" s="490">
        <f t="shared" si="4"/>
        <v>0</v>
      </c>
      <c r="W171" s="490">
        <f t="shared" si="5"/>
        <v>0</v>
      </c>
      <c r="Y171" s="490" t="str">
        <f>IF(U171&gt;'JSM Eingabe+TW'!$CU$92,'JSM Eingabe+TW'!$CU$92," ")</f>
        <v xml:space="preserve"> </v>
      </c>
    </row>
    <row r="172" spans="19:25" x14ac:dyDescent="0.2">
      <c r="S172" s="489">
        <v>211</v>
      </c>
      <c r="T172" s="497">
        <v>155</v>
      </c>
      <c r="U172" s="489">
        <f>LARGE('JSM Eingabe+TW'!$DJ$32:$DU$62,S172)</f>
        <v>9.9999999999999995E-7</v>
      </c>
      <c r="V172" s="490">
        <f t="shared" si="4"/>
        <v>0</v>
      </c>
      <c r="W172" s="490">
        <f t="shared" si="5"/>
        <v>0</v>
      </c>
      <c r="Y172" s="490" t="str">
        <f>IF(U172&gt;'JSM Eingabe+TW'!$CU$92,'JSM Eingabe+TW'!$CU$92," ")</f>
        <v xml:space="preserve"> </v>
      </c>
    </row>
    <row r="173" spans="19:25" x14ac:dyDescent="0.2">
      <c r="S173" s="489">
        <v>210</v>
      </c>
      <c r="T173" s="497">
        <v>156</v>
      </c>
      <c r="U173" s="489">
        <f>LARGE('JSM Eingabe+TW'!$DJ$32:$DU$62,S173)</f>
        <v>9.9999999999999995E-7</v>
      </c>
      <c r="V173" s="490">
        <f t="shared" si="4"/>
        <v>0</v>
      </c>
      <c r="W173" s="490">
        <f t="shared" si="5"/>
        <v>0</v>
      </c>
      <c r="Y173" s="490" t="str">
        <f>IF(U173&gt;'JSM Eingabe+TW'!$CU$92,'JSM Eingabe+TW'!$CU$92," ")</f>
        <v xml:space="preserve"> </v>
      </c>
    </row>
    <row r="174" spans="19:25" x14ac:dyDescent="0.2">
      <c r="S174" s="489">
        <v>209</v>
      </c>
      <c r="T174" s="497">
        <v>157</v>
      </c>
      <c r="U174" s="489">
        <f>LARGE('JSM Eingabe+TW'!$DJ$32:$DU$62,S174)</f>
        <v>9.9999999999999995E-7</v>
      </c>
      <c r="V174" s="490">
        <f t="shared" si="4"/>
        <v>0</v>
      </c>
      <c r="W174" s="490">
        <f t="shared" si="5"/>
        <v>0</v>
      </c>
      <c r="Y174" s="490" t="str">
        <f>IF(U174&gt;'JSM Eingabe+TW'!$CU$92,'JSM Eingabe+TW'!$CU$92," ")</f>
        <v xml:space="preserve"> </v>
      </c>
    </row>
    <row r="175" spans="19:25" x14ac:dyDescent="0.2">
      <c r="S175" s="489">
        <v>208</v>
      </c>
      <c r="T175" s="497">
        <v>158</v>
      </c>
      <c r="U175" s="489">
        <f>LARGE('JSM Eingabe+TW'!$DJ$32:$DU$62,S175)</f>
        <v>9.9999999999999995E-7</v>
      </c>
      <c r="V175" s="490">
        <f t="shared" si="4"/>
        <v>0</v>
      </c>
      <c r="W175" s="490">
        <f t="shared" si="5"/>
        <v>0</v>
      </c>
      <c r="X175" s="490">
        <f>E$31</f>
        <v>0</v>
      </c>
      <c r="Y175" s="490" t="str">
        <f>IF(U175&gt;'JSM Eingabe+TW'!$CU$92,'JSM Eingabe+TW'!$CU$92," ")</f>
        <v xml:space="preserve"> </v>
      </c>
    </row>
    <row r="176" spans="19:25" x14ac:dyDescent="0.2">
      <c r="S176" s="489">
        <v>207</v>
      </c>
      <c r="T176" s="497">
        <v>159</v>
      </c>
      <c r="U176" s="489">
        <f>LARGE('JSM Eingabe+TW'!$DJ$32:$DU$62,S176)</f>
        <v>9.9999999999999995E-7</v>
      </c>
      <c r="V176" s="490">
        <f t="shared" si="4"/>
        <v>0</v>
      </c>
      <c r="W176" s="490">
        <f t="shared" si="5"/>
        <v>0</v>
      </c>
      <c r="Y176" s="490" t="str">
        <f>IF(U176&gt;'JSM Eingabe+TW'!$CU$92,'JSM Eingabe+TW'!$CU$92," ")</f>
        <v xml:space="preserve"> </v>
      </c>
    </row>
    <row r="177" spans="19:25" x14ac:dyDescent="0.2">
      <c r="S177" s="489">
        <v>206</v>
      </c>
      <c r="T177" s="497">
        <v>160</v>
      </c>
      <c r="U177" s="489">
        <f>LARGE('JSM Eingabe+TW'!$DJ$32:$DU$62,S177)</f>
        <v>9.9999999999999995E-7</v>
      </c>
      <c r="V177" s="490">
        <f t="shared" si="4"/>
        <v>0</v>
      </c>
      <c r="W177" s="490">
        <f t="shared" si="5"/>
        <v>0</v>
      </c>
      <c r="Y177" s="490" t="str">
        <f>IF(U177&gt;'JSM Eingabe+TW'!$CU$92,'JSM Eingabe+TW'!$CU$92," ")</f>
        <v xml:space="preserve"> </v>
      </c>
    </row>
    <row r="178" spans="19:25" x14ac:dyDescent="0.2">
      <c r="S178" s="489">
        <v>205</v>
      </c>
      <c r="T178" s="497">
        <v>161</v>
      </c>
      <c r="U178" s="489">
        <f>LARGE('JSM Eingabe+TW'!$DJ$32:$DU$62,S178)</f>
        <v>9.9999999999999995E-7</v>
      </c>
      <c r="V178" s="490">
        <f t="shared" si="4"/>
        <v>0</v>
      </c>
      <c r="W178" s="490">
        <f t="shared" si="5"/>
        <v>0</v>
      </c>
      <c r="Y178" s="490" t="str">
        <f>IF(U178&gt;'JSM Eingabe+TW'!$CU$92,'JSM Eingabe+TW'!$CU$92," ")</f>
        <v xml:space="preserve"> </v>
      </c>
    </row>
    <row r="179" spans="19:25" x14ac:dyDescent="0.2">
      <c r="S179" s="489">
        <v>204</v>
      </c>
      <c r="T179" s="497">
        <v>162</v>
      </c>
      <c r="U179" s="489">
        <f>LARGE('JSM Eingabe+TW'!$DJ$32:$DU$62,S179)</f>
        <v>9.9999999999999995E-7</v>
      </c>
      <c r="V179" s="490">
        <f t="shared" si="4"/>
        <v>0</v>
      </c>
      <c r="W179" s="490">
        <f t="shared" si="5"/>
        <v>0</v>
      </c>
      <c r="Y179" s="490" t="str">
        <f>IF(U179&gt;'JSM Eingabe+TW'!$CU$92,'JSM Eingabe+TW'!$CU$92," ")</f>
        <v xml:space="preserve"> </v>
      </c>
    </row>
    <row r="180" spans="19:25" x14ac:dyDescent="0.2">
      <c r="S180" s="489">
        <v>203</v>
      </c>
      <c r="T180" s="497">
        <v>163</v>
      </c>
      <c r="U180" s="489">
        <f>LARGE('JSM Eingabe+TW'!$DJ$32:$DU$62,S180)</f>
        <v>9.9999999999999995E-7</v>
      </c>
      <c r="V180" s="490">
        <f t="shared" si="4"/>
        <v>0</v>
      </c>
      <c r="W180" s="490">
        <f t="shared" si="5"/>
        <v>0</v>
      </c>
      <c r="X180" s="490">
        <f>E$31</f>
        <v>0</v>
      </c>
      <c r="Y180" s="490" t="str">
        <f>IF(U180&gt;'JSM Eingabe+TW'!$CU$92,'JSM Eingabe+TW'!$CU$92," ")</f>
        <v xml:space="preserve"> </v>
      </c>
    </row>
    <row r="181" spans="19:25" x14ac:dyDescent="0.2">
      <c r="S181" s="489">
        <v>202</v>
      </c>
      <c r="T181" s="497">
        <v>164</v>
      </c>
      <c r="U181" s="489">
        <f>LARGE('JSM Eingabe+TW'!$DJ$32:$DU$62,S181)</f>
        <v>9.9999999999999995E-7</v>
      </c>
      <c r="V181" s="490">
        <f t="shared" si="4"/>
        <v>0</v>
      </c>
      <c r="W181" s="490">
        <f t="shared" si="5"/>
        <v>0</v>
      </c>
      <c r="Y181" s="490" t="str">
        <f>IF(U181&gt;'JSM Eingabe+TW'!$CU$92,'JSM Eingabe+TW'!$CU$92," ")</f>
        <v xml:space="preserve"> </v>
      </c>
    </row>
    <row r="182" spans="19:25" x14ac:dyDescent="0.2">
      <c r="S182" s="489">
        <v>201</v>
      </c>
      <c r="T182" s="497">
        <v>165</v>
      </c>
      <c r="U182" s="489">
        <f>LARGE('JSM Eingabe+TW'!$DJ$32:$DU$62,S182)</f>
        <v>9.9999999999999995E-7</v>
      </c>
      <c r="V182" s="490">
        <f t="shared" si="4"/>
        <v>0</v>
      </c>
      <c r="W182" s="490">
        <f t="shared" si="5"/>
        <v>0</v>
      </c>
      <c r="Y182" s="490" t="str">
        <f>IF(U182&gt;'JSM Eingabe+TW'!$CU$92,'JSM Eingabe+TW'!$CU$92," ")</f>
        <v xml:space="preserve"> </v>
      </c>
    </row>
    <row r="183" spans="19:25" x14ac:dyDescent="0.2">
      <c r="S183" s="489">
        <v>200</v>
      </c>
      <c r="T183" s="497">
        <v>166</v>
      </c>
      <c r="U183" s="489">
        <f>LARGE('JSM Eingabe+TW'!$DJ$32:$DU$62,S183)</f>
        <v>9.9999999999999995E-7</v>
      </c>
      <c r="V183" s="490">
        <f t="shared" si="4"/>
        <v>0</v>
      </c>
      <c r="W183" s="490">
        <f t="shared" si="5"/>
        <v>0</v>
      </c>
      <c r="Y183" s="490" t="str">
        <f>IF(U183&gt;'JSM Eingabe+TW'!$CU$92,'JSM Eingabe+TW'!$CU$92," ")</f>
        <v xml:space="preserve"> </v>
      </c>
    </row>
    <row r="184" spans="19:25" x14ac:dyDescent="0.2">
      <c r="S184" s="489">
        <v>199</v>
      </c>
      <c r="T184" s="497">
        <v>167</v>
      </c>
      <c r="U184" s="489">
        <f>LARGE('JSM Eingabe+TW'!$DJ$32:$DU$62,S184)</f>
        <v>9.9999999999999995E-7</v>
      </c>
      <c r="V184" s="490">
        <f t="shared" si="4"/>
        <v>0</v>
      </c>
      <c r="W184" s="490">
        <f t="shared" si="5"/>
        <v>0</v>
      </c>
      <c r="Y184" s="490" t="str">
        <f>IF(U184&gt;'JSM Eingabe+TW'!$CU$92,'JSM Eingabe+TW'!$CU$92," ")</f>
        <v xml:space="preserve"> </v>
      </c>
    </row>
    <row r="185" spans="19:25" x14ac:dyDescent="0.2">
      <c r="S185" s="489">
        <v>198</v>
      </c>
      <c r="T185" s="497">
        <v>168</v>
      </c>
      <c r="U185" s="489">
        <f>LARGE('JSM Eingabe+TW'!$DJ$32:$DU$62,S185)</f>
        <v>9.9999999999999995E-7</v>
      </c>
      <c r="V185" s="490">
        <f t="shared" si="4"/>
        <v>0</v>
      </c>
      <c r="W185" s="490">
        <f t="shared" si="5"/>
        <v>0</v>
      </c>
      <c r="X185" s="490">
        <f>E$31</f>
        <v>0</v>
      </c>
      <c r="Y185" s="490" t="str">
        <f>IF(U185&gt;'JSM Eingabe+TW'!$CU$92,'JSM Eingabe+TW'!$CU$92," ")</f>
        <v xml:space="preserve"> </v>
      </c>
    </row>
    <row r="186" spans="19:25" x14ac:dyDescent="0.2">
      <c r="S186" s="489">
        <v>197</v>
      </c>
      <c r="T186" s="497">
        <v>169</v>
      </c>
      <c r="U186" s="489">
        <f>LARGE('JSM Eingabe+TW'!$DJ$32:$DU$62,S186)</f>
        <v>9.9999999999999995E-7</v>
      </c>
      <c r="V186" s="490">
        <f t="shared" si="4"/>
        <v>0</v>
      </c>
      <c r="W186" s="490">
        <f t="shared" si="5"/>
        <v>0</v>
      </c>
      <c r="Y186" s="490" t="str">
        <f>IF(U186&gt;'JSM Eingabe+TW'!$CU$92,'JSM Eingabe+TW'!$CU$92," ")</f>
        <v xml:space="preserve"> </v>
      </c>
    </row>
    <row r="187" spans="19:25" x14ac:dyDescent="0.2">
      <c r="S187" s="489">
        <v>196</v>
      </c>
      <c r="T187" s="497">
        <v>170</v>
      </c>
      <c r="U187" s="489">
        <f>LARGE('JSM Eingabe+TW'!$DJ$32:$DU$62,S187)</f>
        <v>9.9999999999999995E-7</v>
      </c>
      <c r="V187" s="490">
        <f t="shared" si="4"/>
        <v>0</v>
      </c>
      <c r="W187" s="490">
        <f t="shared" si="5"/>
        <v>0</v>
      </c>
      <c r="Y187" s="490" t="str">
        <f>IF(U187&gt;'JSM Eingabe+TW'!$CU$92,'JSM Eingabe+TW'!$CU$92," ")</f>
        <v xml:space="preserve"> </v>
      </c>
    </row>
    <row r="188" spans="19:25" x14ac:dyDescent="0.2">
      <c r="S188" s="489">
        <v>195</v>
      </c>
      <c r="T188" s="497">
        <v>171</v>
      </c>
      <c r="U188" s="489">
        <f>LARGE('JSM Eingabe+TW'!$DJ$32:$DU$62,S188)</f>
        <v>9.9999999999999995E-7</v>
      </c>
      <c r="V188" s="490">
        <f t="shared" si="4"/>
        <v>0</v>
      </c>
      <c r="W188" s="490">
        <f t="shared" si="5"/>
        <v>0</v>
      </c>
      <c r="Y188" s="490" t="str">
        <f>IF(U188&gt;'JSM Eingabe+TW'!$CU$92,'JSM Eingabe+TW'!$CU$92," ")</f>
        <v xml:space="preserve"> </v>
      </c>
    </row>
    <row r="189" spans="19:25" x14ac:dyDescent="0.2">
      <c r="S189" s="489">
        <v>194</v>
      </c>
      <c r="T189" s="497">
        <v>172</v>
      </c>
      <c r="U189" s="489">
        <f>LARGE('JSM Eingabe+TW'!$DJ$32:$DU$62,S189)</f>
        <v>9.9999999999999995E-7</v>
      </c>
      <c r="V189" s="490">
        <f t="shared" si="4"/>
        <v>0</v>
      </c>
      <c r="W189" s="490">
        <f t="shared" si="5"/>
        <v>0</v>
      </c>
      <c r="Y189" s="490" t="str">
        <f>IF(U189&gt;'JSM Eingabe+TW'!$CU$92,'JSM Eingabe+TW'!$CU$92," ")</f>
        <v xml:space="preserve"> </v>
      </c>
    </row>
    <row r="190" spans="19:25" x14ac:dyDescent="0.2">
      <c r="S190" s="489">
        <v>193</v>
      </c>
      <c r="T190" s="497">
        <v>173</v>
      </c>
      <c r="U190" s="489">
        <f>LARGE('JSM Eingabe+TW'!$DJ$32:$DU$62,S190)</f>
        <v>9.9999999999999995E-7</v>
      </c>
      <c r="V190" s="490">
        <f t="shared" si="4"/>
        <v>0</v>
      </c>
      <c r="W190" s="490">
        <f t="shared" si="5"/>
        <v>0</v>
      </c>
      <c r="X190" s="490">
        <f>E$31</f>
        <v>0</v>
      </c>
      <c r="Y190" s="490" t="str">
        <f>IF(U190&gt;'JSM Eingabe+TW'!$CU$92,'JSM Eingabe+TW'!$CU$92," ")</f>
        <v xml:space="preserve"> </v>
      </c>
    </row>
    <row r="191" spans="19:25" x14ac:dyDescent="0.2">
      <c r="S191" s="489">
        <v>192</v>
      </c>
      <c r="T191" s="497">
        <v>174</v>
      </c>
      <c r="U191" s="489">
        <f>LARGE('JSM Eingabe+TW'!$DJ$32:$DU$62,S191)</f>
        <v>9.9999999999999995E-7</v>
      </c>
      <c r="V191" s="490">
        <f t="shared" si="4"/>
        <v>0</v>
      </c>
      <c r="W191" s="490">
        <f t="shared" si="5"/>
        <v>0</v>
      </c>
      <c r="Y191" s="490" t="str">
        <f>IF(U191&gt;'JSM Eingabe+TW'!$CU$92,'JSM Eingabe+TW'!$CU$92," ")</f>
        <v xml:space="preserve"> </v>
      </c>
    </row>
    <row r="192" spans="19:25" x14ac:dyDescent="0.2">
      <c r="S192" s="489">
        <v>191</v>
      </c>
      <c r="T192" s="497">
        <v>175</v>
      </c>
      <c r="U192" s="489">
        <f>LARGE('JSM Eingabe+TW'!$DJ$32:$DU$62,S192)</f>
        <v>9.9999999999999995E-7</v>
      </c>
      <c r="V192" s="490">
        <f t="shared" si="4"/>
        <v>0</v>
      </c>
      <c r="W192" s="490">
        <f t="shared" si="5"/>
        <v>0</v>
      </c>
      <c r="Y192" s="490" t="str">
        <f>IF(U192&gt;'JSM Eingabe+TW'!$CU$92,'JSM Eingabe+TW'!$CU$92," ")</f>
        <v xml:space="preserve"> </v>
      </c>
    </row>
    <row r="193" spans="19:25" x14ac:dyDescent="0.2">
      <c r="S193" s="489">
        <v>190</v>
      </c>
      <c r="T193" s="497">
        <v>176</v>
      </c>
      <c r="U193" s="489">
        <f>LARGE('JSM Eingabe+TW'!$DJ$32:$DU$62,S193)</f>
        <v>9.9999999999999995E-7</v>
      </c>
      <c r="V193" s="490">
        <f t="shared" si="4"/>
        <v>0</v>
      </c>
      <c r="W193" s="490">
        <f t="shared" si="5"/>
        <v>0</v>
      </c>
      <c r="Y193" s="490" t="str">
        <f>IF(U193&gt;'JSM Eingabe+TW'!$CU$92,'JSM Eingabe+TW'!$CU$92," ")</f>
        <v xml:space="preserve"> </v>
      </c>
    </row>
    <row r="194" spans="19:25" x14ac:dyDescent="0.2">
      <c r="S194" s="489">
        <v>189</v>
      </c>
      <c r="T194" s="497">
        <v>177</v>
      </c>
      <c r="U194" s="489">
        <f>LARGE('JSM Eingabe+TW'!$DJ$32:$DU$62,S194)</f>
        <v>9.9999999999999995E-7</v>
      </c>
      <c r="V194" s="490">
        <f t="shared" si="4"/>
        <v>0</v>
      </c>
      <c r="W194" s="490">
        <f t="shared" si="5"/>
        <v>0</v>
      </c>
      <c r="Y194" s="490" t="str">
        <f>IF(U194&gt;'JSM Eingabe+TW'!$CU$92,'JSM Eingabe+TW'!$CU$92," ")</f>
        <v xml:space="preserve"> </v>
      </c>
    </row>
    <row r="195" spans="19:25" x14ac:dyDescent="0.2">
      <c r="S195" s="489">
        <v>188</v>
      </c>
      <c r="T195" s="497">
        <v>178</v>
      </c>
      <c r="U195" s="489">
        <f>LARGE('JSM Eingabe+TW'!$DJ$32:$DU$62,S195)</f>
        <v>9.9999999999999995E-7</v>
      </c>
      <c r="V195" s="490">
        <f t="shared" si="4"/>
        <v>0</v>
      </c>
      <c r="W195" s="490">
        <f t="shared" si="5"/>
        <v>0</v>
      </c>
      <c r="X195" s="490">
        <f>E$31</f>
        <v>0</v>
      </c>
      <c r="Y195" s="490" t="str">
        <f>IF(U195&gt;'JSM Eingabe+TW'!$CU$92,'JSM Eingabe+TW'!$CU$92," ")</f>
        <v xml:space="preserve"> </v>
      </c>
    </row>
    <row r="196" spans="19:25" x14ac:dyDescent="0.2">
      <c r="S196" s="489">
        <v>187</v>
      </c>
      <c r="T196" s="497">
        <v>179</v>
      </c>
      <c r="U196" s="489">
        <f>LARGE('JSM Eingabe+TW'!$DJ$32:$DU$62,S196)</f>
        <v>9.9999999999999995E-7</v>
      </c>
      <c r="V196" s="490">
        <f t="shared" si="4"/>
        <v>0</v>
      </c>
      <c r="W196" s="490">
        <f t="shared" si="5"/>
        <v>0</v>
      </c>
      <c r="Y196" s="490" t="str">
        <f>IF(U196&gt;'JSM Eingabe+TW'!$CU$92,'JSM Eingabe+TW'!$CU$92," ")</f>
        <v xml:space="preserve"> </v>
      </c>
    </row>
    <row r="197" spans="19:25" x14ac:dyDescent="0.2">
      <c r="S197" s="489">
        <v>186</v>
      </c>
      <c r="T197" s="497">
        <v>180</v>
      </c>
      <c r="U197" s="489">
        <f>LARGE('JSM Eingabe+TW'!$DJ$32:$DU$62,S197)</f>
        <v>9.9999999999999995E-7</v>
      </c>
      <c r="V197" s="490">
        <f t="shared" si="4"/>
        <v>0</v>
      </c>
      <c r="W197" s="490">
        <f t="shared" si="5"/>
        <v>0</v>
      </c>
      <c r="Y197" s="490" t="str">
        <f>IF(U197&gt;'JSM Eingabe+TW'!$CU$92,'JSM Eingabe+TW'!$CU$92," ")</f>
        <v xml:space="preserve"> </v>
      </c>
    </row>
    <row r="198" spans="19:25" x14ac:dyDescent="0.2">
      <c r="S198" s="489">
        <v>185</v>
      </c>
      <c r="T198" s="497">
        <v>181</v>
      </c>
      <c r="U198" s="489">
        <f>LARGE('JSM Eingabe+TW'!$DJ$32:$DU$62,S198)</f>
        <v>9.9999999999999995E-7</v>
      </c>
      <c r="V198" s="490">
        <f t="shared" si="4"/>
        <v>0</v>
      </c>
      <c r="W198" s="490">
        <f t="shared" si="5"/>
        <v>0</v>
      </c>
      <c r="Y198" s="490" t="str">
        <f>IF(U198&gt;'JSM Eingabe+TW'!$CU$92,'JSM Eingabe+TW'!$CU$92," ")</f>
        <v xml:space="preserve"> </v>
      </c>
    </row>
    <row r="199" spans="19:25" x14ac:dyDescent="0.2">
      <c r="S199" s="489">
        <v>184</v>
      </c>
      <c r="T199" s="497">
        <v>182</v>
      </c>
      <c r="U199" s="489">
        <f>LARGE('JSM Eingabe+TW'!$DJ$32:$DU$62,S199)</f>
        <v>9.9999999999999995E-7</v>
      </c>
      <c r="V199" s="490">
        <f t="shared" si="4"/>
        <v>0</v>
      </c>
      <c r="W199" s="490">
        <f t="shared" si="5"/>
        <v>0</v>
      </c>
      <c r="Y199" s="490" t="str">
        <f>IF(U199&gt;'JSM Eingabe+TW'!$CU$92,'JSM Eingabe+TW'!$CU$92," ")</f>
        <v xml:space="preserve"> </v>
      </c>
    </row>
    <row r="200" spans="19:25" x14ac:dyDescent="0.2">
      <c r="S200" s="489">
        <v>183</v>
      </c>
      <c r="T200" s="497">
        <v>183</v>
      </c>
      <c r="U200" s="489">
        <f>LARGE('JSM Eingabe+TW'!$DJ$32:$DU$62,S200)</f>
        <v>9.9999999999999995E-7</v>
      </c>
      <c r="V200" s="490">
        <f t="shared" si="4"/>
        <v>0</v>
      </c>
      <c r="W200" s="490">
        <f t="shared" si="5"/>
        <v>0</v>
      </c>
      <c r="X200" s="490">
        <f>E$31</f>
        <v>0</v>
      </c>
      <c r="Y200" s="490" t="str">
        <f>IF(U200&gt;'JSM Eingabe+TW'!$CU$92,'JSM Eingabe+TW'!$CU$92," ")</f>
        <v xml:space="preserve"> </v>
      </c>
    </row>
    <row r="201" spans="19:25" x14ac:dyDescent="0.2">
      <c r="S201" s="489">
        <v>182</v>
      </c>
      <c r="T201" s="497">
        <v>184</v>
      </c>
      <c r="U201" s="489">
        <f>LARGE('JSM Eingabe+TW'!$DJ$32:$DU$62,S201)</f>
        <v>9.9999999999999995E-7</v>
      </c>
      <c r="V201" s="490">
        <f t="shared" si="4"/>
        <v>0</v>
      </c>
      <c r="W201" s="490">
        <f t="shared" si="5"/>
        <v>0</v>
      </c>
      <c r="Y201" s="490" t="str">
        <f>IF(U201&gt;'JSM Eingabe+TW'!$CU$92,'JSM Eingabe+TW'!$CU$92," ")</f>
        <v xml:space="preserve"> </v>
      </c>
    </row>
    <row r="202" spans="19:25" x14ac:dyDescent="0.2">
      <c r="S202" s="489">
        <v>181</v>
      </c>
      <c r="T202" s="497">
        <v>185</v>
      </c>
      <c r="U202" s="489">
        <f>LARGE('JSM Eingabe+TW'!$DJ$32:$DU$62,S202)</f>
        <v>9.9999999999999995E-7</v>
      </c>
      <c r="V202" s="490">
        <f t="shared" si="4"/>
        <v>0</v>
      </c>
      <c r="W202" s="490">
        <f t="shared" si="5"/>
        <v>0</v>
      </c>
      <c r="Y202" s="490" t="str">
        <f>IF(U202&gt;'JSM Eingabe+TW'!$CU$92,'JSM Eingabe+TW'!$CU$92," ")</f>
        <v xml:space="preserve"> </v>
      </c>
    </row>
    <row r="203" spans="19:25" x14ac:dyDescent="0.2">
      <c r="S203" s="489">
        <v>180</v>
      </c>
      <c r="T203" s="497">
        <v>186</v>
      </c>
      <c r="U203" s="489">
        <f>LARGE('JSM Eingabe+TW'!$DJ$32:$DU$62,S203)</f>
        <v>9.9999999999999995E-7</v>
      </c>
      <c r="V203" s="490">
        <f t="shared" si="4"/>
        <v>0</v>
      </c>
      <c r="W203" s="490">
        <f t="shared" si="5"/>
        <v>0</v>
      </c>
      <c r="Y203" s="490" t="str">
        <f>IF(U203&gt;'JSM Eingabe+TW'!$CU$92,'JSM Eingabe+TW'!$CU$92," ")</f>
        <v xml:space="preserve"> </v>
      </c>
    </row>
    <row r="204" spans="19:25" x14ac:dyDescent="0.2">
      <c r="S204" s="489">
        <v>179</v>
      </c>
      <c r="T204" s="497">
        <v>187</v>
      </c>
      <c r="U204" s="489">
        <f>LARGE('JSM Eingabe+TW'!$DJ$32:$DU$62,S204)</f>
        <v>9.9999999999999995E-7</v>
      </c>
      <c r="V204" s="490">
        <f t="shared" si="4"/>
        <v>0</v>
      </c>
      <c r="W204" s="490">
        <f t="shared" si="5"/>
        <v>0</v>
      </c>
      <c r="Y204" s="490" t="str">
        <f>IF(U204&gt;'JSM Eingabe+TW'!$CU$92,'JSM Eingabe+TW'!$CU$92," ")</f>
        <v xml:space="preserve"> </v>
      </c>
    </row>
    <row r="205" spans="19:25" x14ac:dyDescent="0.2">
      <c r="S205" s="489">
        <v>178</v>
      </c>
      <c r="T205" s="497">
        <v>188</v>
      </c>
      <c r="U205" s="489">
        <f>LARGE('JSM Eingabe+TW'!$DJ$32:$DU$62,S205)</f>
        <v>9.9999999999999995E-7</v>
      </c>
      <c r="V205" s="490">
        <f t="shared" si="4"/>
        <v>0</v>
      </c>
      <c r="W205" s="490">
        <f t="shared" si="5"/>
        <v>0</v>
      </c>
      <c r="X205" s="490">
        <f>E$31</f>
        <v>0</v>
      </c>
      <c r="Y205" s="490" t="str">
        <f>IF(U205&gt;'JSM Eingabe+TW'!$CU$92,'JSM Eingabe+TW'!$CU$92," ")</f>
        <v xml:space="preserve"> </v>
      </c>
    </row>
    <row r="206" spans="19:25" x14ac:dyDescent="0.2">
      <c r="S206" s="489">
        <v>177</v>
      </c>
      <c r="T206" s="497">
        <v>189</v>
      </c>
      <c r="U206" s="489">
        <f>LARGE('JSM Eingabe+TW'!$DJ$32:$DU$62,S206)</f>
        <v>9.9999999999999995E-7</v>
      </c>
      <c r="V206" s="490">
        <f t="shared" si="4"/>
        <v>0</v>
      </c>
      <c r="W206" s="490">
        <f t="shared" si="5"/>
        <v>0</v>
      </c>
      <c r="Y206" s="490" t="str">
        <f>IF(U206&gt;'JSM Eingabe+TW'!$CU$92,'JSM Eingabe+TW'!$CU$92," ")</f>
        <v xml:space="preserve"> </v>
      </c>
    </row>
    <row r="207" spans="19:25" x14ac:dyDescent="0.2">
      <c r="S207" s="489">
        <v>176</v>
      </c>
      <c r="T207" s="497">
        <v>190</v>
      </c>
      <c r="U207" s="489">
        <f>LARGE('JSM Eingabe+TW'!$DJ$32:$DU$62,S207)</f>
        <v>9.9999999999999995E-7</v>
      </c>
      <c r="V207" s="490">
        <f t="shared" si="4"/>
        <v>0</v>
      </c>
      <c r="W207" s="490">
        <f t="shared" si="5"/>
        <v>0</v>
      </c>
      <c r="Y207" s="490" t="str">
        <f>IF(U207&gt;'JSM Eingabe+TW'!$CU$92,'JSM Eingabe+TW'!$CU$92," ")</f>
        <v xml:space="preserve"> </v>
      </c>
    </row>
    <row r="208" spans="19:25" x14ac:dyDescent="0.2">
      <c r="S208" s="489">
        <v>175</v>
      </c>
      <c r="T208" s="497">
        <v>191</v>
      </c>
      <c r="U208" s="489">
        <f>LARGE('JSM Eingabe+TW'!$DJ$32:$DU$62,S208)</f>
        <v>9.9999999999999995E-7</v>
      </c>
      <c r="V208" s="490">
        <f t="shared" si="4"/>
        <v>0</v>
      </c>
      <c r="W208" s="490">
        <f t="shared" si="5"/>
        <v>0</v>
      </c>
      <c r="Y208" s="490" t="str">
        <f>IF(U208&gt;'JSM Eingabe+TW'!$CU$92,'JSM Eingabe+TW'!$CU$92," ")</f>
        <v xml:space="preserve"> </v>
      </c>
    </row>
    <row r="209" spans="19:25" x14ac:dyDescent="0.2">
      <c r="S209" s="489">
        <v>174</v>
      </c>
      <c r="T209" s="497">
        <v>192</v>
      </c>
      <c r="U209" s="489">
        <f>LARGE('JSM Eingabe+TW'!$DJ$32:$DU$62,S209)</f>
        <v>9.9999999999999995E-7</v>
      </c>
      <c r="V209" s="490">
        <f t="shared" si="4"/>
        <v>0</v>
      </c>
      <c r="W209" s="490">
        <f t="shared" si="5"/>
        <v>0</v>
      </c>
      <c r="Y209" s="490" t="str">
        <f>IF(U209&gt;'JSM Eingabe+TW'!$CU$92,'JSM Eingabe+TW'!$CU$92," ")</f>
        <v xml:space="preserve"> </v>
      </c>
    </row>
    <row r="210" spans="19:25" x14ac:dyDescent="0.2">
      <c r="S210" s="489">
        <v>173</v>
      </c>
      <c r="T210" s="497">
        <v>193</v>
      </c>
      <c r="U210" s="489">
        <f>LARGE('JSM Eingabe+TW'!$DJ$32:$DU$62,S210)</f>
        <v>9.9999999999999995E-7</v>
      </c>
      <c r="V210" s="490">
        <f t="shared" ref="V210:V273" si="6">IF(T210=V$13,LARGE(U$18:U$382,1),0)</f>
        <v>0</v>
      </c>
      <c r="W210" s="490">
        <f t="shared" ref="W210:W273" si="7">IF(T210=W$13,LARGE(U$18:U$382,1),0)</f>
        <v>0</v>
      </c>
      <c r="X210" s="490">
        <f>E$31</f>
        <v>0</v>
      </c>
      <c r="Y210" s="490" t="str">
        <f>IF(U210&gt;'JSM Eingabe+TW'!$CU$92,'JSM Eingabe+TW'!$CU$92," ")</f>
        <v xml:space="preserve"> </v>
      </c>
    </row>
    <row r="211" spans="19:25" x14ac:dyDescent="0.2">
      <c r="S211" s="489">
        <v>172</v>
      </c>
      <c r="T211" s="497">
        <v>194</v>
      </c>
      <c r="U211" s="489">
        <f>LARGE('JSM Eingabe+TW'!$DJ$32:$DU$62,S211)</f>
        <v>9.9999999999999995E-7</v>
      </c>
      <c r="V211" s="490">
        <f t="shared" si="6"/>
        <v>0</v>
      </c>
      <c r="W211" s="490">
        <f t="shared" si="7"/>
        <v>0</v>
      </c>
      <c r="Y211" s="490" t="str">
        <f>IF(U211&gt;'JSM Eingabe+TW'!$CU$92,'JSM Eingabe+TW'!$CU$92," ")</f>
        <v xml:space="preserve"> </v>
      </c>
    </row>
    <row r="212" spans="19:25" x14ac:dyDescent="0.2">
      <c r="S212" s="489">
        <v>171</v>
      </c>
      <c r="T212" s="497">
        <v>195</v>
      </c>
      <c r="U212" s="489">
        <f>LARGE('JSM Eingabe+TW'!$DJ$32:$DU$62,S212)</f>
        <v>9.9999999999999995E-7</v>
      </c>
      <c r="V212" s="490">
        <f t="shared" si="6"/>
        <v>0</v>
      </c>
      <c r="W212" s="490">
        <f t="shared" si="7"/>
        <v>0</v>
      </c>
      <c r="Y212" s="490" t="str">
        <f>IF(U212&gt;'JSM Eingabe+TW'!$CU$92,'JSM Eingabe+TW'!$CU$92," ")</f>
        <v xml:space="preserve"> </v>
      </c>
    </row>
    <row r="213" spans="19:25" x14ac:dyDescent="0.2">
      <c r="S213" s="489">
        <v>170</v>
      </c>
      <c r="T213" s="497">
        <v>196</v>
      </c>
      <c r="U213" s="489">
        <f>LARGE('JSM Eingabe+TW'!$DJ$32:$DU$62,S213)</f>
        <v>9.9999999999999995E-7</v>
      </c>
      <c r="V213" s="490">
        <f t="shared" si="6"/>
        <v>0</v>
      </c>
      <c r="W213" s="490">
        <f t="shared" si="7"/>
        <v>0</v>
      </c>
      <c r="Y213" s="490" t="str">
        <f>IF(U213&gt;'JSM Eingabe+TW'!$CU$92,'JSM Eingabe+TW'!$CU$92," ")</f>
        <v xml:space="preserve"> </v>
      </c>
    </row>
    <row r="214" spans="19:25" x14ac:dyDescent="0.2">
      <c r="S214" s="489">
        <v>169</v>
      </c>
      <c r="T214" s="497">
        <v>197</v>
      </c>
      <c r="U214" s="489">
        <f>LARGE('JSM Eingabe+TW'!$DJ$32:$DU$62,S214)</f>
        <v>9.9999999999999995E-7</v>
      </c>
      <c r="V214" s="490">
        <f t="shared" si="6"/>
        <v>0</v>
      </c>
      <c r="W214" s="490">
        <f t="shared" si="7"/>
        <v>0</v>
      </c>
      <c r="Y214" s="490" t="str">
        <f>IF(U214&gt;'JSM Eingabe+TW'!$CU$92,'JSM Eingabe+TW'!$CU$92," ")</f>
        <v xml:space="preserve"> </v>
      </c>
    </row>
    <row r="215" spans="19:25" x14ac:dyDescent="0.2">
      <c r="S215" s="489">
        <v>168</v>
      </c>
      <c r="T215" s="497">
        <v>198</v>
      </c>
      <c r="U215" s="489">
        <f>LARGE('JSM Eingabe+TW'!$DJ$32:$DU$62,S215)</f>
        <v>9.9999999999999995E-7</v>
      </c>
      <c r="V215" s="490">
        <f t="shared" si="6"/>
        <v>0</v>
      </c>
      <c r="W215" s="490">
        <f t="shared" si="7"/>
        <v>0</v>
      </c>
      <c r="X215" s="490">
        <f>E$31</f>
        <v>0</v>
      </c>
      <c r="Y215" s="490" t="str">
        <f>IF(U215&gt;'JSM Eingabe+TW'!$CU$92,'JSM Eingabe+TW'!$CU$92," ")</f>
        <v xml:space="preserve"> </v>
      </c>
    </row>
    <row r="216" spans="19:25" x14ac:dyDescent="0.2">
      <c r="S216" s="489">
        <v>167</v>
      </c>
      <c r="T216" s="497">
        <v>199</v>
      </c>
      <c r="U216" s="489">
        <f>LARGE('JSM Eingabe+TW'!$DJ$32:$DU$62,S216)</f>
        <v>9.9999999999999995E-7</v>
      </c>
      <c r="V216" s="490">
        <f t="shared" si="6"/>
        <v>0</v>
      </c>
      <c r="W216" s="490">
        <f t="shared" si="7"/>
        <v>0</v>
      </c>
      <c r="Y216" s="490" t="str">
        <f>IF(U216&gt;'JSM Eingabe+TW'!$CU$92,'JSM Eingabe+TW'!$CU$92," ")</f>
        <v xml:space="preserve"> </v>
      </c>
    </row>
    <row r="217" spans="19:25" x14ac:dyDescent="0.2">
      <c r="S217" s="489">
        <v>166</v>
      </c>
      <c r="T217" s="497">
        <v>200</v>
      </c>
      <c r="U217" s="489">
        <f>LARGE('JSM Eingabe+TW'!$DJ$32:$DU$62,S217)</f>
        <v>9.9999999999999995E-7</v>
      </c>
      <c r="V217" s="490">
        <f t="shared" si="6"/>
        <v>0</v>
      </c>
      <c r="W217" s="490">
        <f t="shared" si="7"/>
        <v>0</v>
      </c>
      <c r="Y217" s="490" t="str">
        <f>IF(U217&gt;'JSM Eingabe+TW'!$CU$92,'JSM Eingabe+TW'!$CU$92," ")</f>
        <v xml:space="preserve"> </v>
      </c>
    </row>
    <row r="218" spans="19:25" x14ac:dyDescent="0.2">
      <c r="S218" s="489">
        <v>165</v>
      </c>
      <c r="T218" s="497">
        <v>201</v>
      </c>
      <c r="U218" s="489">
        <f>LARGE('JSM Eingabe+TW'!$DJ$32:$DU$62,S218)</f>
        <v>9.9999999999999995E-7</v>
      </c>
      <c r="V218" s="490">
        <f t="shared" si="6"/>
        <v>0</v>
      </c>
      <c r="W218" s="490">
        <f t="shared" si="7"/>
        <v>0</v>
      </c>
      <c r="Y218" s="490" t="str">
        <f>IF(U218&gt;'JSM Eingabe+TW'!$CU$92,'JSM Eingabe+TW'!$CU$92," ")</f>
        <v xml:space="preserve"> </v>
      </c>
    </row>
    <row r="219" spans="19:25" x14ac:dyDescent="0.2">
      <c r="S219" s="489">
        <v>164</v>
      </c>
      <c r="T219" s="497">
        <v>202</v>
      </c>
      <c r="U219" s="489">
        <f>LARGE('JSM Eingabe+TW'!$DJ$32:$DU$62,S219)</f>
        <v>9.9999999999999995E-7</v>
      </c>
      <c r="V219" s="490">
        <f t="shared" si="6"/>
        <v>0</v>
      </c>
      <c r="W219" s="490">
        <f t="shared" si="7"/>
        <v>0</v>
      </c>
      <c r="Y219" s="490" t="str">
        <f>IF(U219&gt;'JSM Eingabe+TW'!$CU$92,'JSM Eingabe+TW'!$CU$92," ")</f>
        <v xml:space="preserve"> </v>
      </c>
    </row>
    <row r="220" spans="19:25" x14ac:dyDescent="0.2">
      <c r="S220" s="489">
        <v>163</v>
      </c>
      <c r="T220" s="497">
        <v>203</v>
      </c>
      <c r="U220" s="489">
        <f>LARGE('JSM Eingabe+TW'!$DJ$32:$DU$62,S220)</f>
        <v>9.9999999999999995E-7</v>
      </c>
      <c r="V220" s="490">
        <f t="shared" si="6"/>
        <v>0</v>
      </c>
      <c r="W220" s="490">
        <f t="shared" si="7"/>
        <v>0</v>
      </c>
      <c r="X220" s="490">
        <f>E$31</f>
        <v>0</v>
      </c>
      <c r="Y220" s="490" t="str">
        <f>IF(U220&gt;'JSM Eingabe+TW'!$CU$92,'JSM Eingabe+TW'!$CU$92," ")</f>
        <v xml:space="preserve"> </v>
      </c>
    </row>
    <row r="221" spans="19:25" x14ac:dyDescent="0.2">
      <c r="S221" s="489">
        <v>162</v>
      </c>
      <c r="T221" s="497">
        <v>204</v>
      </c>
      <c r="U221" s="489">
        <f>LARGE('JSM Eingabe+TW'!$DJ$32:$DU$62,S221)</f>
        <v>9.9999999999999995E-7</v>
      </c>
      <c r="V221" s="490">
        <f t="shared" si="6"/>
        <v>0</v>
      </c>
      <c r="W221" s="490">
        <f t="shared" si="7"/>
        <v>0</v>
      </c>
      <c r="Y221" s="490" t="str">
        <f>IF(U221&gt;'JSM Eingabe+TW'!$CU$92,'JSM Eingabe+TW'!$CU$92," ")</f>
        <v xml:space="preserve"> </v>
      </c>
    </row>
    <row r="222" spans="19:25" x14ac:dyDescent="0.2">
      <c r="S222" s="489">
        <v>161</v>
      </c>
      <c r="T222" s="497">
        <v>205</v>
      </c>
      <c r="U222" s="489">
        <f>LARGE('JSM Eingabe+TW'!$DJ$32:$DU$62,S222)</f>
        <v>9.9999999999999995E-7</v>
      </c>
      <c r="V222" s="490">
        <f t="shared" si="6"/>
        <v>0</v>
      </c>
      <c r="W222" s="490">
        <f t="shared" si="7"/>
        <v>0</v>
      </c>
      <c r="Y222" s="490" t="str">
        <f>IF(U222&gt;'JSM Eingabe+TW'!$CU$92,'JSM Eingabe+TW'!$CU$92," ")</f>
        <v xml:space="preserve"> </v>
      </c>
    </row>
    <row r="223" spans="19:25" x14ac:dyDescent="0.2">
      <c r="S223" s="489">
        <v>160</v>
      </c>
      <c r="T223" s="497">
        <v>206</v>
      </c>
      <c r="U223" s="489">
        <f>LARGE('JSM Eingabe+TW'!$DJ$32:$DU$62,S223)</f>
        <v>9.9999999999999995E-7</v>
      </c>
      <c r="V223" s="490">
        <f t="shared" si="6"/>
        <v>0</v>
      </c>
      <c r="W223" s="490">
        <f t="shared" si="7"/>
        <v>0</v>
      </c>
      <c r="Y223" s="490" t="str">
        <f>IF(U223&gt;'JSM Eingabe+TW'!$CU$92,'JSM Eingabe+TW'!$CU$92," ")</f>
        <v xml:space="preserve"> </v>
      </c>
    </row>
    <row r="224" spans="19:25" x14ac:dyDescent="0.2">
      <c r="S224" s="489">
        <v>159</v>
      </c>
      <c r="T224" s="497">
        <v>207</v>
      </c>
      <c r="U224" s="489">
        <f>LARGE('JSM Eingabe+TW'!$DJ$32:$DU$62,S224)</f>
        <v>9.9999999999999995E-7</v>
      </c>
      <c r="V224" s="490">
        <f t="shared" si="6"/>
        <v>0</v>
      </c>
      <c r="W224" s="490">
        <f t="shared" si="7"/>
        <v>0</v>
      </c>
      <c r="Y224" s="490" t="str">
        <f>IF(U224&gt;'JSM Eingabe+TW'!$CU$92,'JSM Eingabe+TW'!$CU$92," ")</f>
        <v xml:space="preserve"> </v>
      </c>
    </row>
    <row r="225" spans="19:25" x14ac:dyDescent="0.2">
      <c r="S225" s="489">
        <v>158</v>
      </c>
      <c r="T225" s="497">
        <v>208</v>
      </c>
      <c r="U225" s="489">
        <f>LARGE('JSM Eingabe+TW'!$DJ$32:$DU$62,S225)</f>
        <v>9.9999999999999995E-7</v>
      </c>
      <c r="V225" s="490">
        <f t="shared" si="6"/>
        <v>0</v>
      </c>
      <c r="W225" s="490">
        <f t="shared" si="7"/>
        <v>0</v>
      </c>
      <c r="X225" s="490">
        <f>E$31</f>
        <v>0</v>
      </c>
      <c r="Y225" s="490" t="str">
        <f>IF(U225&gt;'JSM Eingabe+TW'!$CU$92,'JSM Eingabe+TW'!$CU$92," ")</f>
        <v xml:space="preserve"> </v>
      </c>
    </row>
    <row r="226" spans="19:25" x14ac:dyDescent="0.2">
      <c r="S226" s="489">
        <v>157</v>
      </c>
      <c r="T226" s="497">
        <v>209</v>
      </c>
      <c r="U226" s="489">
        <f>LARGE('JSM Eingabe+TW'!$DJ$32:$DU$62,S226)</f>
        <v>9.9999999999999995E-7</v>
      </c>
      <c r="V226" s="490">
        <f t="shared" si="6"/>
        <v>0</v>
      </c>
      <c r="W226" s="490">
        <f t="shared" si="7"/>
        <v>0</v>
      </c>
      <c r="Y226" s="490" t="str">
        <f>IF(U226&gt;'JSM Eingabe+TW'!$CU$92,'JSM Eingabe+TW'!$CU$92," ")</f>
        <v xml:space="preserve"> </v>
      </c>
    </row>
    <row r="227" spans="19:25" x14ac:dyDescent="0.2">
      <c r="S227" s="489">
        <v>156</v>
      </c>
      <c r="T227" s="497">
        <v>210</v>
      </c>
      <c r="U227" s="489">
        <f>LARGE('JSM Eingabe+TW'!$DJ$32:$DU$62,S227)</f>
        <v>9.9999999999999995E-7</v>
      </c>
      <c r="V227" s="490">
        <f t="shared" si="6"/>
        <v>0</v>
      </c>
      <c r="W227" s="490">
        <f t="shared" si="7"/>
        <v>0</v>
      </c>
      <c r="Y227" s="490" t="str">
        <f>IF(U227&gt;'JSM Eingabe+TW'!$CU$92,'JSM Eingabe+TW'!$CU$92," ")</f>
        <v xml:space="preserve"> </v>
      </c>
    </row>
    <row r="228" spans="19:25" x14ac:dyDescent="0.2">
      <c r="S228" s="489">
        <v>155</v>
      </c>
      <c r="T228" s="497">
        <v>211</v>
      </c>
      <c r="U228" s="489">
        <f>LARGE('JSM Eingabe+TW'!$DJ$32:$DU$62,S228)</f>
        <v>9.9999999999999995E-7</v>
      </c>
      <c r="V228" s="490">
        <f t="shared" si="6"/>
        <v>0</v>
      </c>
      <c r="W228" s="490">
        <f t="shared" si="7"/>
        <v>0</v>
      </c>
      <c r="Y228" s="490" t="str">
        <f>IF(U228&gt;'JSM Eingabe+TW'!$CU$92,'JSM Eingabe+TW'!$CU$92," ")</f>
        <v xml:space="preserve"> </v>
      </c>
    </row>
    <row r="229" spans="19:25" x14ac:dyDescent="0.2">
      <c r="S229" s="489">
        <v>154</v>
      </c>
      <c r="T229" s="497">
        <v>212</v>
      </c>
      <c r="U229" s="489">
        <f>LARGE('JSM Eingabe+TW'!$DJ$32:$DU$62,S229)</f>
        <v>9.9999999999999995E-7</v>
      </c>
      <c r="V229" s="490">
        <f t="shared" si="6"/>
        <v>0</v>
      </c>
      <c r="W229" s="490">
        <f t="shared" si="7"/>
        <v>0</v>
      </c>
      <c r="Y229" s="490" t="str">
        <f>IF(U229&gt;'JSM Eingabe+TW'!$CU$92,'JSM Eingabe+TW'!$CU$92," ")</f>
        <v xml:space="preserve"> </v>
      </c>
    </row>
    <row r="230" spans="19:25" x14ac:dyDescent="0.2">
      <c r="S230" s="489">
        <v>153</v>
      </c>
      <c r="T230" s="497">
        <v>213</v>
      </c>
      <c r="U230" s="489">
        <f>LARGE('JSM Eingabe+TW'!$DJ$32:$DU$62,S230)</f>
        <v>9.9999999999999995E-7</v>
      </c>
      <c r="V230" s="490">
        <f t="shared" si="6"/>
        <v>0</v>
      </c>
      <c r="W230" s="490">
        <f t="shared" si="7"/>
        <v>0</v>
      </c>
      <c r="X230" s="490">
        <f>E$31</f>
        <v>0</v>
      </c>
      <c r="Y230" s="490" t="str">
        <f>IF(U230&gt;'JSM Eingabe+TW'!$CU$92,'JSM Eingabe+TW'!$CU$92," ")</f>
        <v xml:space="preserve"> </v>
      </c>
    </row>
    <row r="231" spans="19:25" x14ac:dyDescent="0.2">
      <c r="S231" s="489">
        <v>152</v>
      </c>
      <c r="T231" s="497">
        <v>214</v>
      </c>
      <c r="U231" s="489">
        <f>LARGE('JSM Eingabe+TW'!$DJ$32:$DU$62,S231)</f>
        <v>9.9999999999999995E-7</v>
      </c>
      <c r="V231" s="490">
        <f t="shared" si="6"/>
        <v>0</v>
      </c>
      <c r="W231" s="490">
        <f t="shared" si="7"/>
        <v>0</v>
      </c>
      <c r="Y231" s="490" t="str">
        <f>IF(U231&gt;'JSM Eingabe+TW'!$CU$92,'JSM Eingabe+TW'!$CU$92," ")</f>
        <v xml:space="preserve"> </v>
      </c>
    </row>
    <row r="232" spans="19:25" x14ac:dyDescent="0.2">
      <c r="S232" s="489">
        <v>151</v>
      </c>
      <c r="T232" s="497">
        <v>215</v>
      </c>
      <c r="U232" s="489">
        <f>LARGE('JSM Eingabe+TW'!$DJ$32:$DU$62,S232)</f>
        <v>9.9999999999999995E-7</v>
      </c>
      <c r="V232" s="490">
        <f t="shared" si="6"/>
        <v>0</v>
      </c>
      <c r="W232" s="490">
        <f t="shared" si="7"/>
        <v>0</v>
      </c>
      <c r="Y232" s="490" t="str">
        <f>IF(U232&gt;'JSM Eingabe+TW'!$CU$92,'JSM Eingabe+TW'!$CU$92," ")</f>
        <v xml:space="preserve"> </v>
      </c>
    </row>
    <row r="233" spans="19:25" x14ac:dyDescent="0.2">
      <c r="S233" s="489">
        <v>150</v>
      </c>
      <c r="T233" s="497">
        <v>216</v>
      </c>
      <c r="U233" s="489">
        <f>LARGE('JSM Eingabe+TW'!$DJ$32:$DU$62,S233)</f>
        <v>9.9999999999999995E-7</v>
      </c>
      <c r="V233" s="490">
        <f t="shared" si="6"/>
        <v>0</v>
      </c>
      <c r="W233" s="490">
        <f t="shared" si="7"/>
        <v>0</v>
      </c>
      <c r="Y233" s="490" t="str">
        <f>IF(U233&gt;'JSM Eingabe+TW'!$CU$92,'JSM Eingabe+TW'!$CU$92," ")</f>
        <v xml:space="preserve"> </v>
      </c>
    </row>
    <row r="234" spans="19:25" x14ac:dyDescent="0.2">
      <c r="S234" s="489">
        <v>149</v>
      </c>
      <c r="T234" s="497">
        <v>217</v>
      </c>
      <c r="U234" s="489">
        <f>LARGE('JSM Eingabe+TW'!$DJ$32:$DU$62,S234)</f>
        <v>9.9999999999999995E-7</v>
      </c>
      <c r="V234" s="490">
        <f t="shared" si="6"/>
        <v>0</v>
      </c>
      <c r="W234" s="490">
        <f t="shared" si="7"/>
        <v>0</v>
      </c>
      <c r="Y234" s="490" t="str">
        <f>IF(U234&gt;'JSM Eingabe+TW'!$CU$92,'JSM Eingabe+TW'!$CU$92," ")</f>
        <v xml:space="preserve"> </v>
      </c>
    </row>
    <row r="235" spans="19:25" x14ac:dyDescent="0.2">
      <c r="S235" s="489">
        <v>148</v>
      </c>
      <c r="T235" s="497">
        <v>218</v>
      </c>
      <c r="U235" s="489">
        <f>LARGE('JSM Eingabe+TW'!$DJ$32:$DU$62,S235)</f>
        <v>9.9999999999999995E-7</v>
      </c>
      <c r="V235" s="490">
        <f t="shared" si="6"/>
        <v>0</v>
      </c>
      <c r="W235" s="490">
        <f t="shared" si="7"/>
        <v>0</v>
      </c>
      <c r="X235" s="490">
        <f>E$31</f>
        <v>0</v>
      </c>
      <c r="Y235" s="490" t="str">
        <f>IF(U235&gt;'JSM Eingabe+TW'!$CU$92,'JSM Eingabe+TW'!$CU$92," ")</f>
        <v xml:space="preserve"> </v>
      </c>
    </row>
    <row r="236" spans="19:25" x14ac:dyDescent="0.2">
      <c r="S236" s="489">
        <v>147</v>
      </c>
      <c r="T236" s="497">
        <v>219</v>
      </c>
      <c r="U236" s="489">
        <f>LARGE('JSM Eingabe+TW'!$DJ$32:$DU$62,S236)</f>
        <v>9.9999999999999995E-7</v>
      </c>
      <c r="V236" s="490">
        <f t="shared" si="6"/>
        <v>0</v>
      </c>
      <c r="W236" s="490">
        <f t="shared" si="7"/>
        <v>0</v>
      </c>
      <c r="Y236" s="490" t="str">
        <f>IF(U236&gt;'JSM Eingabe+TW'!$CU$92,'JSM Eingabe+TW'!$CU$92," ")</f>
        <v xml:space="preserve"> </v>
      </c>
    </row>
    <row r="237" spans="19:25" x14ac:dyDescent="0.2">
      <c r="S237" s="489">
        <v>146</v>
      </c>
      <c r="T237" s="497">
        <v>220</v>
      </c>
      <c r="U237" s="489">
        <f>LARGE('JSM Eingabe+TW'!$DJ$32:$DU$62,S237)</f>
        <v>9.9999999999999995E-7</v>
      </c>
      <c r="V237" s="490">
        <f t="shared" si="6"/>
        <v>0</v>
      </c>
      <c r="W237" s="490">
        <f t="shared" si="7"/>
        <v>0</v>
      </c>
      <c r="Y237" s="490" t="str">
        <f>IF(U237&gt;'JSM Eingabe+TW'!$CU$92,'JSM Eingabe+TW'!$CU$92," ")</f>
        <v xml:space="preserve"> </v>
      </c>
    </row>
    <row r="238" spans="19:25" x14ac:dyDescent="0.2">
      <c r="S238" s="489">
        <v>145</v>
      </c>
      <c r="T238" s="497">
        <v>221</v>
      </c>
      <c r="U238" s="489">
        <f>LARGE('JSM Eingabe+TW'!$DJ$32:$DU$62,S238)</f>
        <v>9.9999999999999995E-7</v>
      </c>
      <c r="V238" s="490">
        <f t="shared" si="6"/>
        <v>0</v>
      </c>
      <c r="W238" s="490">
        <f t="shared" si="7"/>
        <v>0</v>
      </c>
      <c r="Y238" s="490" t="str">
        <f>IF(U238&gt;'JSM Eingabe+TW'!$CU$92,'JSM Eingabe+TW'!$CU$92," ")</f>
        <v xml:space="preserve"> </v>
      </c>
    </row>
    <row r="239" spans="19:25" x14ac:dyDescent="0.2">
      <c r="S239" s="489">
        <v>144</v>
      </c>
      <c r="T239" s="497">
        <v>222</v>
      </c>
      <c r="U239" s="489">
        <f>LARGE('JSM Eingabe+TW'!$DJ$32:$DU$62,S239)</f>
        <v>9.9999999999999995E-7</v>
      </c>
      <c r="V239" s="490">
        <f t="shared" si="6"/>
        <v>0</v>
      </c>
      <c r="W239" s="490">
        <f t="shared" si="7"/>
        <v>0</v>
      </c>
      <c r="Y239" s="490" t="str">
        <f>IF(U239&gt;'JSM Eingabe+TW'!$CU$92,'JSM Eingabe+TW'!$CU$92," ")</f>
        <v xml:space="preserve"> </v>
      </c>
    </row>
    <row r="240" spans="19:25" x14ac:dyDescent="0.2">
      <c r="S240" s="489">
        <v>143</v>
      </c>
      <c r="T240" s="497">
        <v>223</v>
      </c>
      <c r="U240" s="489">
        <f>LARGE('JSM Eingabe+TW'!$DJ$32:$DU$62,S240)</f>
        <v>9.9999999999999995E-7</v>
      </c>
      <c r="V240" s="490">
        <f t="shared" si="6"/>
        <v>0</v>
      </c>
      <c r="W240" s="490">
        <f t="shared" si="7"/>
        <v>0</v>
      </c>
      <c r="X240" s="490">
        <f>E$31</f>
        <v>0</v>
      </c>
      <c r="Y240" s="490" t="str">
        <f>IF(U240&gt;'JSM Eingabe+TW'!$CU$92,'JSM Eingabe+TW'!$CU$92," ")</f>
        <v xml:space="preserve"> </v>
      </c>
    </row>
    <row r="241" spans="19:25" x14ac:dyDescent="0.2">
      <c r="S241" s="489">
        <v>142</v>
      </c>
      <c r="T241" s="497">
        <v>224</v>
      </c>
      <c r="U241" s="489">
        <f>LARGE('JSM Eingabe+TW'!$DJ$32:$DU$62,S241)</f>
        <v>9.9999999999999995E-7</v>
      </c>
      <c r="V241" s="490">
        <f t="shared" si="6"/>
        <v>0</v>
      </c>
      <c r="W241" s="490">
        <f t="shared" si="7"/>
        <v>0</v>
      </c>
      <c r="Y241" s="490" t="str">
        <f>IF(U241&gt;'JSM Eingabe+TW'!$CU$92,'JSM Eingabe+TW'!$CU$92," ")</f>
        <v xml:space="preserve"> </v>
      </c>
    </row>
    <row r="242" spans="19:25" x14ac:dyDescent="0.2">
      <c r="S242" s="489">
        <v>141</v>
      </c>
      <c r="T242" s="497">
        <v>225</v>
      </c>
      <c r="U242" s="489">
        <f>LARGE('JSM Eingabe+TW'!$DJ$32:$DU$62,S242)</f>
        <v>9.9999999999999995E-7</v>
      </c>
      <c r="V242" s="490">
        <f t="shared" si="6"/>
        <v>0</v>
      </c>
      <c r="W242" s="490">
        <f t="shared" si="7"/>
        <v>0</v>
      </c>
      <c r="Y242" s="490" t="str">
        <f>IF(U242&gt;'JSM Eingabe+TW'!$CU$92,'JSM Eingabe+TW'!$CU$92," ")</f>
        <v xml:space="preserve"> </v>
      </c>
    </row>
    <row r="243" spans="19:25" x14ac:dyDescent="0.2">
      <c r="S243" s="489">
        <v>140</v>
      </c>
      <c r="T243" s="497">
        <v>226</v>
      </c>
      <c r="U243" s="489">
        <f>LARGE('JSM Eingabe+TW'!$DJ$32:$DU$62,S243)</f>
        <v>9.9999999999999995E-7</v>
      </c>
      <c r="V243" s="490">
        <f t="shared" si="6"/>
        <v>0</v>
      </c>
      <c r="W243" s="490">
        <f t="shared" si="7"/>
        <v>0</v>
      </c>
      <c r="Y243" s="490" t="str">
        <f>IF(U243&gt;'JSM Eingabe+TW'!$CU$92,'JSM Eingabe+TW'!$CU$92," ")</f>
        <v xml:space="preserve"> </v>
      </c>
    </row>
    <row r="244" spans="19:25" x14ac:dyDescent="0.2">
      <c r="S244" s="489">
        <v>139</v>
      </c>
      <c r="T244" s="497">
        <v>227</v>
      </c>
      <c r="U244" s="489">
        <f>LARGE('JSM Eingabe+TW'!$DJ$32:$DU$62,S244)</f>
        <v>9.9999999999999995E-7</v>
      </c>
      <c r="V244" s="490">
        <f t="shared" si="6"/>
        <v>0</v>
      </c>
      <c r="W244" s="490">
        <f t="shared" si="7"/>
        <v>0</v>
      </c>
      <c r="Y244" s="490" t="str">
        <f>IF(U244&gt;'JSM Eingabe+TW'!$CU$92,'JSM Eingabe+TW'!$CU$92," ")</f>
        <v xml:space="preserve"> </v>
      </c>
    </row>
    <row r="245" spans="19:25" x14ac:dyDescent="0.2">
      <c r="S245" s="489">
        <v>138</v>
      </c>
      <c r="T245" s="497">
        <v>228</v>
      </c>
      <c r="U245" s="489">
        <f>LARGE('JSM Eingabe+TW'!$DJ$32:$DU$62,S245)</f>
        <v>9.9999999999999995E-7</v>
      </c>
      <c r="V245" s="490">
        <f t="shared" si="6"/>
        <v>0</v>
      </c>
      <c r="W245" s="490">
        <f t="shared" si="7"/>
        <v>0</v>
      </c>
      <c r="X245" s="490">
        <f>E$31</f>
        <v>0</v>
      </c>
      <c r="Y245" s="490" t="str">
        <f>IF(U245&gt;'JSM Eingabe+TW'!$CU$92,'JSM Eingabe+TW'!$CU$92," ")</f>
        <v xml:space="preserve"> </v>
      </c>
    </row>
    <row r="246" spans="19:25" x14ac:dyDescent="0.2">
      <c r="S246" s="489">
        <v>137</v>
      </c>
      <c r="T246" s="497">
        <v>229</v>
      </c>
      <c r="U246" s="489">
        <f>LARGE('JSM Eingabe+TW'!$DJ$32:$DU$62,S246)</f>
        <v>9.9999999999999995E-7</v>
      </c>
      <c r="V246" s="490">
        <f t="shared" si="6"/>
        <v>0</v>
      </c>
      <c r="W246" s="490">
        <f t="shared" si="7"/>
        <v>0</v>
      </c>
      <c r="Y246" s="490" t="str">
        <f>IF(U246&gt;'JSM Eingabe+TW'!$CU$92,'JSM Eingabe+TW'!$CU$92," ")</f>
        <v xml:space="preserve"> </v>
      </c>
    </row>
    <row r="247" spans="19:25" x14ac:dyDescent="0.2">
      <c r="S247" s="489">
        <v>136</v>
      </c>
      <c r="T247" s="497">
        <v>230</v>
      </c>
      <c r="U247" s="489">
        <f>LARGE('JSM Eingabe+TW'!$DJ$32:$DU$62,S247)</f>
        <v>9.9999999999999995E-7</v>
      </c>
      <c r="V247" s="490">
        <f t="shared" si="6"/>
        <v>0</v>
      </c>
      <c r="W247" s="490">
        <f t="shared" si="7"/>
        <v>0</v>
      </c>
      <c r="Y247" s="490" t="str">
        <f>IF(U247&gt;'JSM Eingabe+TW'!$CU$92,'JSM Eingabe+TW'!$CU$92," ")</f>
        <v xml:space="preserve"> </v>
      </c>
    </row>
    <row r="248" spans="19:25" x14ac:dyDescent="0.2">
      <c r="S248" s="489">
        <v>135</v>
      </c>
      <c r="T248" s="497">
        <v>231</v>
      </c>
      <c r="U248" s="489">
        <f>LARGE('JSM Eingabe+TW'!$DJ$32:$DU$62,S248)</f>
        <v>9.9999999999999995E-7</v>
      </c>
      <c r="V248" s="490">
        <f t="shared" si="6"/>
        <v>0</v>
      </c>
      <c r="W248" s="490">
        <f t="shared" si="7"/>
        <v>0</v>
      </c>
      <c r="Y248" s="490" t="str">
        <f>IF(U248&gt;'JSM Eingabe+TW'!$CU$92,'JSM Eingabe+TW'!$CU$92," ")</f>
        <v xml:space="preserve"> </v>
      </c>
    </row>
    <row r="249" spans="19:25" x14ac:dyDescent="0.2">
      <c r="S249" s="489">
        <v>134</v>
      </c>
      <c r="T249" s="497">
        <v>232</v>
      </c>
      <c r="U249" s="489">
        <f>LARGE('JSM Eingabe+TW'!$DJ$32:$DU$62,S249)</f>
        <v>9.9999999999999995E-7</v>
      </c>
      <c r="V249" s="490">
        <f t="shared" si="6"/>
        <v>0</v>
      </c>
      <c r="W249" s="490">
        <f t="shared" si="7"/>
        <v>0</v>
      </c>
      <c r="Y249" s="490" t="str">
        <f>IF(U249&gt;'JSM Eingabe+TW'!$CU$92,'JSM Eingabe+TW'!$CU$92," ")</f>
        <v xml:space="preserve"> </v>
      </c>
    </row>
    <row r="250" spans="19:25" x14ac:dyDescent="0.2">
      <c r="S250" s="489">
        <v>133</v>
      </c>
      <c r="T250" s="497">
        <v>233</v>
      </c>
      <c r="U250" s="489">
        <f>LARGE('JSM Eingabe+TW'!$DJ$32:$DU$62,S250)</f>
        <v>9.9999999999999995E-7</v>
      </c>
      <c r="V250" s="490">
        <f t="shared" si="6"/>
        <v>0</v>
      </c>
      <c r="W250" s="490">
        <f t="shared" si="7"/>
        <v>0</v>
      </c>
      <c r="X250" s="490">
        <f>E$31</f>
        <v>0</v>
      </c>
      <c r="Y250" s="490" t="str">
        <f>IF(U250&gt;'JSM Eingabe+TW'!$CU$92,'JSM Eingabe+TW'!$CU$92," ")</f>
        <v xml:space="preserve"> </v>
      </c>
    </row>
    <row r="251" spans="19:25" x14ac:dyDescent="0.2">
      <c r="S251" s="489">
        <v>132</v>
      </c>
      <c r="T251" s="497">
        <v>234</v>
      </c>
      <c r="U251" s="489">
        <f>LARGE('JSM Eingabe+TW'!$DJ$32:$DU$62,S251)</f>
        <v>9.9999999999999995E-7</v>
      </c>
      <c r="V251" s="490">
        <f t="shared" si="6"/>
        <v>0</v>
      </c>
      <c r="W251" s="490">
        <f t="shared" si="7"/>
        <v>0</v>
      </c>
      <c r="Y251" s="490" t="str">
        <f>IF(U251&gt;'JSM Eingabe+TW'!$CU$92,'JSM Eingabe+TW'!$CU$92," ")</f>
        <v xml:space="preserve"> </v>
      </c>
    </row>
    <row r="252" spans="19:25" x14ac:dyDescent="0.2">
      <c r="S252" s="489">
        <v>131</v>
      </c>
      <c r="T252" s="497">
        <v>235</v>
      </c>
      <c r="U252" s="489">
        <f>LARGE('JSM Eingabe+TW'!$DJ$32:$DU$62,S252)</f>
        <v>9.9999999999999995E-7</v>
      </c>
      <c r="V252" s="490">
        <f t="shared" si="6"/>
        <v>0</v>
      </c>
      <c r="W252" s="490">
        <f t="shared" si="7"/>
        <v>0</v>
      </c>
      <c r="Y252" s="490" t="str">
        <f>IF(U252&gt;'JSM Eingabe+TW'!$CU$92,'JSM Eingabe+TW'!$CU$92," ")</f>
        <v xml:space="preserve"> </v>
      </c>
    </row>
    <row r="253" spans="19:25" x14ac:dyDescent="0.2">
      <c r="S253" s="489">
        <v>130</v>
      </c>
      <c r="T253" s="497">
        <v>236</v>
      </c>
      <c r="U253" s="489">
        <f>LARGE('JSM Eingabe+TW'!$DJ$32:$DU$62,S253)</f>
        <v>9.9999999999999995E-7</v>
      </c>
      <c r="V253" s="490">
        <f t="shared" si="6"/>
        <v>0</v>
      </c>
      <c r="W253" s="490">
        <f t="shared" si="7"/>
        <v>0</v>
      </c>
      <c r="Y253" s="490" t="str">
        <f>IF(U253&gt;'JSM Eingabe+TW'!$CU$92,'JSM Eingabe+TW'!$CU$92," ")</f>
        <v xml:space="preserve"> </v>
      </c>
    </row>
    <row r="254" spans="19:25" x14ac:dyDescent="0.2">
      <c r="S254" s="489">
        <v>129</v>
      </c>
      <c r="T254" s="497">
        <v>237</v>
      </c>
      <c r="U254" s="489">
        <f>LARGE('JSM Eingabe+TW'!$DJ$32:$DU$62,S254)</f>
        <v>9.9999999999999995E-7</v>
      </c>
      <c r="V254" s="490">
        <f t="shared" si="6"/>
        <v>0</v>
      </c>
      <c r="W254" s="490">
        <f t="shared" si="7"/>
        <v>0</v>
      </c>
      <c r="Y254" s="490" t="str">
        <f>IF(U254&gt;'JSM Eingabe+TW'!$CU$92,'JSM Eingabe+TW'!$CU$92," ")</f>
        <v xml:space="preserve"> </v>
      </c>
    </row>
    <row r="255" spans="19:25" x14ac:dyDescent="0.2">
      <c r="S255" s="489">
        <v>128</v>
      </c>
      <c r="T255" s="497">
        <v>238</v>
      </c>
      <c r="U255" s="489">
        <f>LARGE('JSM Eingabe+TW'!$DJ$32:$DU$62,S255)</f>
        <v>9.9999999999999995E-7</v>
      </c>
      <c r="V255" s="490">
        <f t="shared" si="6"/>
        <v>0</v>
      </c>
      <c r="W255" s="490">
        <f t="shared" si="7"/>
        <v>0</v>
      </c>
      <c r="X255" s="490">
        <f>E$31</f>
        <v>0</v>
      </c>
      <c r="Y255" s="490" t="str">
        <f>IF(U255&gt;'JSM Eingabe+TW'!$CU$92,'JSM Eingabe+TW'!$CU$92," ")</f>
        <v xml:space="preserve"> </v>
      </c>
    </row>
    <row r="256" spans="19:25" x14ac:dyDescent="0.2">
      <c r="S256" s="489">
        <v>127</v>
      </c>
      <c r="T256" s="497">
        <v>239</v>
      </c>
      <c r="U256" s="489">
        <f>LARGE('JSM Eingabe+TW'!$DJ$32:$DU$62,S256)</f>
        <v>9.9999999999999995E-7</v>
      </c>
      <c r="V256" s="490">
        <f t="shared" si="6"/>
        <v>0</v>
      </c>
      <c r="W256" s="490">
        <f t="shared" si="7"/>
        <v>0</v>
      </c>
      <c r="Y256" s="490" t="str">
        <f>IF(U256&gt;'JSM Eingabe+TW'!$CU$92,'JSM Eingabe+TW'!$CU$92," ")</f>
        <v xml:space="preserve"> </v>
      </c>
    </row>
    <row r="257" spans="19:25" x14ac:dyDescent="0.2">
      <c r="S257" s="489">
        <v>126</v>
      </c>
      <c r="T257" s="497">
        <v>240</v>
      </c>
      <c r="U257" s="489">
        <f>LARGE('JSM Eingabe+TW'!$DJ$32:$DU$62,S257)</f>
        <v>9.9999999999999995E-7</v>
      </c>
      <c r="V257" s="490">
        <f t="shared" si="6"/>
        <v>0</v>
      </c>
      <c r="W257" s="490">
        <f t="shared" si="7"/>
        <v>0</v>
      </c>
      <c r="Y257" s="490" t="str">
        <f>IF(U257&gt;'JSM Eingabe+TW'!$CU$92,'JSM Eingabe+TW'!$CU$92," ")</f>
        <v xml:space="preserve"> </v>
      </c>
    </row>
    <row r="258" spans="19:25" x14ac:dyDescent="0.2">
      <c r="S258" s="489">
        <v>125</v>
      </c>
      <c r="T258" s="497">
        <v>241</v>
      </c>
      <c r="U258" s="489">
        <f>LARGE('JSM Eingabe+TW'!$DJ$32:$DU$62,S258)</f>
        <v>9.9999999999999995E-7</v>
      </c>
      <c r="V258" s="490">
        <f t="shared" si="6"/>
        <v>0</v>
      </c>
      <c r="W258" s="490">
        <f t="shared" si="7"/>
        <v>0</v>
      </c>
      <c r="Y258" s="490" t="str">
        <f>IF(U258&gt;'JSM Eingabe+TW'!$CU$92,'JSM Eingabe+TW'!$CU$92," ")</f>
        <v xml:space="preserve"> </v>
      </c>
    </row>
    <row r="259" spans="19:25" x14ac:dyDescent="0.2">
      <c r="S259" s="489">
        <v>124</v>
      </c>
      <c r="T259" s="497">
        <v>242</v>
      </c>
      <c r="U259" s="489">
        <f>LARGE('JSM Eingabe+TW'!$DJ$32:$DU$62,S259)</f>
        <v>9.9999999999999995E-7</v>
      </c>
      <c r="V259" s="490">
        <f t="shared" si="6"/>
        <v>0</v>
      </c>
      <c r="W259" s="490">
        <f t="shared" si="7"/>
        <v>0</v>
      </c>
      <c r="Y259" s="490" t="str">
        <f>IF(U259&gt;'JSM Eingabe+TW'!$CU$92,'JSM Eingabe+TW'!$CU$92," ")</f>
        <v xml:space="preserve"> </v>
      </c>
    </row>
    <row r="260" spans="19:25" x14ac:dyDescent="0.2">
      <c r="S260" s="489">
        <v>123</v>
      </c>
      <c r="T260" s="497">
        <v>243</v>
      </c>
      <c r="U260" s="489">
        <f>LARGE('JSM Eingabe+TW'!$DJ$32:$DU$62,S260)</f>
        <v>9.9999999999999995E-7</v>
      </c>
      <c r="V260" s="490">
        <f t="shared" si="6"/>
        <v>0</v>
      </c>
      <c r="W260" s="490">
        <f t="shared" si="7"/>
        <v>0</v>
      </c>
      <c r="X260" s="490">
        <f>E$31</f>
        <v>0</v>
      </c>
      <c r="Y260" s="490" t="str">
        <f>IF(U260&gt;'JSM Eingabe+TW'!$CU$92,'JSM Eingabe+TW'!$CU$92," ")</f>
        <v xml:space="preserve"> </v>
      </c>
    </row>
    <row r="261" spans="19:25" x14ac:dyDescent="0.2">
      <c r="S261" s="489">
        <v>122</v>
      </c>
      <c r="T261" s="497">
        <v>244</v>
      </c>
      <c r="U261" s="489">
        <f>LARGE('JSM Eingabe+TW'!$DJ$32:$DU$62,S261)</f>
        <v>9.9999999999999995E-7</v>
      </c>
      <c r="V261" s="490">
        <f t="shared" si="6"/>
        <v>0</v>
      </c>
      <c r="W261" s="490">
        <f t="shared" si="7"/>
        <v>0</v>
      </c>
      <c r="Y261" s="490" t="str">
        <f>IF(U261&gt;'JSM Eingabe+TW'!$CU$92,'JSM Eingabe+TW'!$CU$92," ")</f>
        <v xml:space="preserve"> </v>
      </c>
    </row>
    <row r="262" spans="19:25" x14ac:dyDescent="0.2">
      <c r="S262" s="489">
        <v>121</v>
      </c>
      <c r="T262" s="497">
        <v>245</v>
      </c>
      <c r="U262" s="489">
        <f>LARGE('JSM Eingabe+TW'!$DJ$32:$DU$62,S262)</f>
        <v>9.9999999999999995E-7</v>
      </c>
      <c r="V262" s="490">
        <f t="shared" si="6"/>
        <v>0</v>
      </c>
      <c r="W262" s="490">
        <f t="shared" si="7"/>
        <v>0</v>
      </c>
      <c r="Y262" s="490" t="str">
        <f>IF(U262&gt;'JSM Eingabe+TW'!$CU$92,'JSM Eingabe+TW'!$CU$92," ")</f>
        <v xml:space="preserve"> </v>
      </c>
    </row>
    <row r="263" spans="19:25" x14ac:dyDescent="0.2">
      <c r="S263" s="489">
        <v>120</v>
      </c>
      <c r="T263" s="497">
        <v>246</v>
      </c>
      <c r="U263" s="489">
        <f>LARGE('JSM Eingabe+TW'!$DJ$32:$DU$62,S263)</f>
        <v>9.9999999999999995E-7</v>
      </c>
      <c r="V263" s="490">
        <f t="shared" si="6"/>
        <v>0</v>
      </c>
      <c r="W263" s="490">
        <f t="shared" si="7"/>
        <v>0</v>
      </c>
      <c r="Y263" s="490" t="str">
        <f>IF(U263&gt;'JSM Eingabe+TW'!$CU$92,'JSM Eingabe+TW'!$CU$92," ")</f>
        <v xml:space="preserve"> </v>
      </c>
    </row>
    <row r="264" spans="19:25" x14ac:dyDescent="0.2">
      <c r="S264" s="489">
        <v>119</v>
      </c>
      <c r="T264" s="497">
        <v>247</v>
      </c>
      <c r="U264" s="489">
        <f>LARGE('JSM Eingabe+TW'!$DJ$32:$DU$62,S264)</f>
        <v>9.9999999999999995E-7</v>
      </c>
      <c r="V264" s="490">
        <f t="shared" si="6"/>
        <v>0</v>
      </c>
      <c r="W264" s="490">
        <f t="shared" si="7"/>
        <v>0</v>
      </c>
      <c r="Y264" s="490" t="str">
        <f>IF(U264&gt;'JSM Eingabe+TW'!$CU$92,'JSM Eingabe+TW'!$CU$92," ")</f>
        <v xml:space="preserve"> </v>
      </c>
    </row>
    <row r="265" spans="19:25" x14ac:dyDescent="0.2">
      <c r="S265" s="489">
        <v>118</v>
      </c>
      <c r="T265" s="497">
        <v>248</v>
      </c>
      <c r="U265" s="489">
        <f>LARGE('JSM Eingabe+TW'!$DJ$32:$DU$62,S265)</f>
        <v>9.9999999999999995E-7</v>
      </c>
      <c r="V265" s="490">
        <f t="shared" si="6"/>
        <v>0</v>
      </c>
      <c r="W265" s="490">
        <f t="shared" si="7"/>
        <v>0</v>
      </c>
      <c r="X265" s="490">
        <f>E$31</f>
        <v>0</v>
      </c>
      <c r="Y265" s="490" t="str">
        <f>IF(U265&gt;'JSM Eingabe+TW'!$CU$92,'JSM Eingabe+TW'!$CU$92," ")</f>
        <v xml:space="preserve"> </v>
      </c>
    </row>
    <row r="266" spans="19:25" x14ac:dyDescent="0.2">
      <c r="S266" s="489">
        <v>117</v>
      </c>
      <c r="T266" s="497">
        <v>249</v>
      </c>
      <c r="U266" s="489">
        <f>LARGE('JSM Eingabe+TW'!$DJ$32:$DU$62,S266)</f>
        <v>9.9999999999999995E-7</v>
      </c>
      <c r="V266" s="490">
        <f t="shared" si="6"/>
        <v>0</v>
      </c>
      <c r="W266" s="490">
        <f t="shared" si="7"/>
        <v>0</v>
      </c>
      <c r="Y266" s="490" t="str">
        <f>IF(U266&gt;'JSM Eingabe+TW'!$CU$92,'JSM Eingabe+TW'!$CU$92," ")</f>
        <v xml:space="preserve"> </v>
      </c>
    </row>
    <row r="267" spans="19:25" x14ac:dyDescent="0.2">
      <c r="S267" s="489">
        <v>116</v>
      </c>
      <c r="T267" s="497">
        <v>250</v>
      </c>
      <c r="U267" s="489">
        <f>LARGE('JSM Eingabe+TW'!$DJ$32:$DU$62,S267)</f>
        <v>9.9999999999999995E-7</v>
      </c>
      <c r="V267" s="490">
        <f t="shared" si="6"/>
        <v>0</v>
      </c>
      <c r="W267" s="490">
        <f t="shared" si="7"/>
        <v>0</v>
      </c>
      <c r="Y267" s="490" t="str">
        <f>IF(U267&gt;'JSM Eingabe+TW'!$CU$92,'JSM Eingabe+TW'!$CU$92," ")</f>
        <v xml:space="preserve"> </v>
      </c>
    </row>
    <row r="268" spans="19:25" x14ac:dyDescent="0.2">
      <c r="S268" s="489">
        <v>115</v>
      </c>
      <c r="T268" s="497">
        <v>251</v>
      </c>
      <c r="U268" s="489">
        <f>LARGE('JSM Eingabe+TW'!$DJ$32:$DU$62,S268)</f>
        <v>9.9999999999999995E-7</v>
      </c>
      <c r="V268" s="490">
        <f t="shared" si="6"/>
        <v>0</v>
      </c>
      <c r="W268" s="490">
        <f t="shared" si="7"/>
        <v>0</v>
      </c>
      <c r="Y268" s="490" t="str">
        <f>IF(U268&gt;'JSM Eingabe+TW'!$CU$92,'JSM Eingabe+TW'!$CU$92," ")</f>
        <v xml:space="preserve"> </v>
      </c>
    </row>
    <row r="269" spans="19:25" x14ac:dyDescent="0.2">
      <c r="S269" s="489">
        <v>114</v>
      </c>
      <c r="T269" s="497">
        <v>252</v>
      </c>
      <c r="U269" s="489">
        <f>LARGE('JSM Eingabe+TW'!$DJ$32:$DU$62,S269)</f>
        <v>9.9999999999999995E-7</v>
      </c>
      <c r="V269" s="490">
        <f t="shared" si="6"/>
        <v>0</v>
      </c>
      <c r="W269" s="490">
        <f t="shared" si="7"/>
        <v>0</v>
      </c>
      <c r="Y269" s="490" t="str">
        <f>IF(U269&gt;'JSM Eingabe+TW'!$CU$92,'JSM Eingabe+TW'!$CU$92," ")</f>
        <v xml:space="preserve"> </v>
      </c>
    </row>
    <row r="270" spans="19:25" x14ac:dyDescent="0.2">
      <c r="S270" s="489">
        <v>113</v>
      </c>
      <c r="T270" s="497">
        <v>253</v>
      </c>
      <c r="U270" s="489">
        <f>LARGE('JSM Eingabe+TW'!$DJ$32:$DU$62,S270)</f>
        <v>9.9999999999999995E-7</v>
      </c>
      <c r="V270" s="490">
        <f t="shared" si="6"/>
        <v>0</v>
      </c>
      <c r="W270" s="490">
        <f t="shared" si="7"/>
        <v>0</v>
      </c>
      <c r="X270" s="490">
        <f>E$31</f>
        <v>0</v>
      </c>
      <c r="Y270" s="490" t="str">
        <f>IF(U270&gt;'JSM Eingabe+TW'!$CU$92,'JSM Eingabe+TW'!$CU$92," ")</f>
        <v xml:space="preserve"> </v>
      </c>
    </row>
    <row r="271" spans="19:25" x14ac:dyDescent="0.2">
      <c r="S271" s="489">
        <v>112</v>
      </c>
      <c r="T271" s="497">
        <v>254</v>
      </c>
      <c r="U271" s="489">
        <f>LARGE('JSM Eingabe+TW'!$DJ$32:$DU$62,S271)</f>
        <v>9.9999999999999995E-7</v>
      </c>
      <c r="V271" s="490">
        <f t="shared" si="6"/>
        <v>0</v>
      </c>
      <c r="W271" s="490">
        <f t="shared" si="7"/>
        <v>0</v>
      </c>
      <c r="Y271" s="490" t="str">
        <f>IF(U271&gt;'JSM Eingabe+TW'!$CU$92,'JSM Eingabe+TW'!$CU$92," ")</f>
        <v xml:space="preserve"> </v>
      </c>
    </row>
    <row r="272" spans="19:25" x14ac:dyDescent="0.2">
      <c r="S272" s="489">
        <v>111</v>
      </c>
      <c r="T272" s="497">
        <v>255</v>
      </c>
      <c r="U272" s="489">
        <f>LARGE('JSM Eingabe+TW'!$DJ$32:$DU$62,S272)</f>
        <v>9.9999999999999995E-7</v>
      </c>
      <c r="V272" s="490">
        <f t="shared" si="6"/>
        <v>0</v>
      </c>
      <c r="W272" s="490">
        <f t="shared" si="7"/>
        <v>0</v>
      </c>
      <c r="Y272" s="490" t="str">
        <f>IF(U272&gt;'JSM Eingabe+TW'!$CU$92,'JSM Eingabe+TW'!$CU$92," ")</f>
        <v xml:space="preserve"> </v>
      </c>
    </row>
    <row r="273" spans="19:25" x14ac:dyDescent="0.2">
      <c r="S273" s="489">
        <v>110</v>
      </c>
      <c r="T273" s="497">
        <v>256</v>
      </c>
      <c r="U273" s="489">
        <f>LARGE('JSM Eingabe+TW'!$DJ$32:$DU$62,S273)</f>
        <v>9.9999999999999995E-7</v>
      </c>
      <c r="V273" s="490">
        <f t="shared" si="6"/>
        <v>0</v>
      </c>
      <c r="W273" s="490">
        <f t="shared" si="7"/>
        <v>0</v>
      </c>
      <c r="Y273" s="490" t="str">
        <f>IF(U273&gt;'JSM Eingabe+TW'!$CU$92,'JSM Eingabe+TW'!$CU$92," ")</f>
        <v xml:space="preserve"> </v>
      </c>
    </row>
    <row r="274" spans="19:25" x14ac:dyDescent="0.2">
      <c r="S274" s="489">
        <v>109</v>
      </c>
      <c r="T274" s="497">
        <v>257</v>
      </c>
      <c r="U274" s="489">
        <f>LARGE('JSM Eingabe+TW'!$DJ$32:$DU$62,S274)</f>
        <v>9.9999999999999995E-7</v>
      </c>
      <c r="V274" s="490">
        <f t="shared" ref="V274:V337" si="8">IF(T274=V$13,LARGE(U$18:U$382,1),0)</f>
        <v>0</v>
      </c>
      <c r="W274" s="490">
        <f t="shared" ref="W274:W337" si="9">IF(T274=W$13,LARGE(U$18:U$382,1),0)</f>
        <v>0</v>
      </c>
      <c r="Y274" s="490" t="str">
        <f>IF(U274&gt;'JSM Eingabe+TW'!$CU$92,'JSM Eingabe+TW'!$CU$92," ")</f>
        <v xml:space="preserve"> </v>
      </c>
    </row>
    <row r="275" spans="19:25" x14ac:dyDescent="0.2">
      <c r="S275" s="489">
        <v>108</v>
      </c>
      <c r="T275" s="497">
        <v>258</v>
      </c>
      <c r="U275" s="489">
        <f>LARGE('JSM Eingabe+TW'!$DJ$32:$DU$62,S275)</f>
        <v>9.9999999999999995E-7</v>
      </c>
      <c r="V275" s="490">
        <f t="shared" si="8"/>
        <v>0</v>
      </c>
      <c r="W275" s="490">
        <f t="shared" si="9"/>
        <v>0</v>
      </c>
      <c r="X275" s="490">
        <f>E$31</f>
        <v>0</v>
      </c>
      <c r="Y275" s="490" t="str">
        <f>IF(U275&gt;'JSM Eingabe+TW'!$CU$92,'JSM Eingabe+TW'!$CU$92," ")</f>
        <v xml:space="preserve"> </v>
      </c>
    </row>
    <row r="276" spans="19:25" x14ac:dyDescent="0.2">
      <c r="S276" s="489">
        <v>107</v>
      </c>
      <c r="T276" s="497">
        <v>259</v>
      </c>
      <c r="U276" s="489">
        <f>LARGE('JSM Eingabe+TW'!$DJ$32:$DU$62,S276)</f>
        <v>9.9999999999999995E-7</v>
      </c>
      <c r="V276" s="490">
        <f t="shared" si="8"/>
        <v>0</v>
      </c>
      <c r="W276" s="490">
        <f t="shared" si="9"/>
        <v>0</v>
      </c>
      <c r="Y276" s="490" t="str">
        <f>IF(U276&gt;'JSM Eingabe+TW'!$CU$92,'JSM Eingabe+TW'!$CU$92," ")</f>
        <v xml:space="preserve"> </v>
      </c>
    </row>
    <row r="277" spans="19:25" x14ac:dyDescent="0.2">
      <c r="S277" s="489">
        <v>106</v>
      </c>
      <c r="T277" s="497">
        <v>260</v>
      </c>
      <c r="U277" s="489">
        <f>LARGE('JSM Eingabe+TW'!$DJ$32:$DU$62,S277)</f>
        <v>9.9999999999999995E-7</v>
      </c>
      <c r="V277" s="490">
        <f t="shared" si="8"/>
        <v>0</v>
      </c>
      <c r="W277" s="490">
        <f t="shared" si="9"/>
        <v>0</v>
      </c>
      <c r="Y277" s="490" t="str">
        <f>IF(U277&gt;'JSM Eingabe+TW'!$CU$92,'JSM Eingabe+TW'!$CU$92," ")</f>
        <v xml:space="preserve"> </v>
      </c>
    </row>
    <row r="278" spans="19:25" x14ac:dyDescent="0.2">
      <c r="S278" s="489">
        <v>105</v>
      </c>
      <c r="T278" s="497">
        <v>261</v>
      </c>
      <c r="U278" s="489">
        <f>LARGE('JSM Eingabe+TW'!$DJ$32:$DU$62,S278)</f>
        <v>9.9999999999999995E-7</v>
      </c>
      <c r="V278" s="490">
        <f t="shared" si="8"/>
        <v>0</v>
      </c>
      <c r="W278" s="490">
        <f t="shared" si="9"/>
        <v>0</v>
      </c>
      <c r="Y278" s="490" t="str">
        <f>IF(U278&gt;'JSM Eingabe+TW'!$CU$92,'JSM Eingabe+TW'!$CU$92," ")</f>
        <v xml:space="preserve"> </v>
      </c>
    </row>
    <row r="279" spans="19:25" x14ac:dyDescent="0.2">
      <c r="S279" s="489">
        <v>104</v>
      </c>
      <c r="T279" s="497">
        <v>262</v>
      </c>
      <c r="U279" s="489">
        <f>LARGE('JSM Eingabe+TW'!$DJ$32:$DU$62,S279)</f>
        <v>9.9999999999999995E-7</v>
      </c>
      <c r="V279" s="490">
        <f t="shared" si="8"/>
        <v>0</v>
      </c>
      <c r="W279" s="490">
        <f t="shared" si="9"/>
        <v>0</v>
      </c>
      <c r="Y279" s="490" t="str">
        <f>IF(U279&gt;'JSM Eingabe+TW'!$CU$92,'JSM Eingabe+TW'!$CU$92," ")</f>
        <v xml:space="preserve"> </v>
      </c>
    </row>
    <row r="280" spans="19:25" x14ac:dyDescent="0.2">
      <c r="S280" s="489">
        <v>103</v>
      </c>
      <c r="T280" s="497">
        <v>263</v>
      </c>
      <c r="U280" s="489">
        <f>LARGE('JSM Eingabe+TW'!$DJ$32:$DU$62,S280)</f>
        <v>9.9999999999999995E-7</v>
      </c>
      <c r="V280" s="490">
        <f t="shared" si="8"/>
        <v>0</v>
      </c>
      <c r="W280" s="490">
        <f t="shared" si="9"/>
        <v>0</v>
      </c>
      <c r="X280" s="490">
        <f>E$31</f>
        <v>0</v>
      </c>
      <c r="Y280" s="490" t="str">
        <f>IF(U280&gt;'JSM Eingabe+TW'!$CU$92,'JSM Eingabe+TW'!$CU$92," ")</f>
        <v xml:space="preserve"> </v>
      </c>
    </row>
    <row r="281" spans="19:25" x14ac:dyDescent="0.2">
      <c r="S281" s="489">
        <v>102</v>
      </c>
      <c r="T281" s="497">
        <v>264</v>
      </c>
      <c r="U281" s="489">
        <f>LARGE('JSM Eingabe+TW'!$DJ$32:$DU$62,S281)</f>
        <v>9.9999999999999995E-7</v>
      </c>
      <c r="V281" s="490">
        <f t="shared" si="8"/>
        <v>0</v>
      </c>
      <c r="W281" s="490">
        <f t="shared" si="9"/>
        <v>0</v>
      </c>
      <c r="Y281" s="490" t="str">
        <f>IF(U281&gt;'JSM Eingabe+TW'!$CU$92,'JSM Eingabe+TW'!$CU$92," ")</f>
        <v xml:space="preserve"> </v>
      </c>
    </row>
    <row r="282" spans="19:25" x14ac:dyDescent="0.2">
      <c r="S282" s="489">
        <v>101</v>
      </c>
      <c r="T282" s="497">
        <v>265</v>
      </c>
      <c r="U282" s="489">
        <f>LARGE('JSM Eingabe+TW'!$DJ$32:$DU$62,S282)</f>
        <v>9.9999999999999995E-7</v>
      </c>
      <c r="V282" s="490">
        <f t="shared" si="8"/>
        <v>0</v>
      </c>
      <c r="W282" s="490">
        <f t="shared" si="9"/>
        <v>0</v>
      </c>
      <c r="Y282" s="490" t="str">
        <f>IF(U282&gt;'JSM Eingabe+TW'!$CU$92,'JSM Eingabe+TW'!$CU$92," ")</f>
        <v xml:space="preserve"> </v>
      </c>
    </row>
    <row r="283" spans="19:25" x14ac:dyDescent="0.2">
      <c r="S283" s="489">
        <v>100</v>
      </c>
      <c r="T283" s="497">
        <v>266</v>
      </c>
      <c r="U283" s="489">
        <f>LARGE('JSM Eingabe+TW'!$DJ$32:$DU$62,S283)</f>
        <v>9.9999999999999995E-7</v>
      </c>
      <c r="V283" s="490">
        <f t="shared" si="8"/>
        <v>0</v>
      </c>
      <c r="W283" s="490">
        <f t="shared" si="9"/>
        <v>0</v>
      </c>
      <c r="Y283" s="490" t="str">
        <f>IF(U283&gt;'JSM Eingabe+TW'!$CU$92,'JSM Eingabe+TW'!$CU$92," ")</f>
        <v xml:space="preserve"> </v>
      </c>
    </row>
    <row r="284" spans="19:25" x14ac:dyDescent="0.2">
      <c r="S284" s="489">
        <v>99</v>
      </c>
      <c r="T284" s="497">
        <v>267</v>
      </c>
      <c r="U284" s="489">
        <f>LARGE('JSM Eingabe+TW'!$DJ$32:$DU$62,S284)</f>
        <v>9.9999999999999995E-7</v>
      </c>
      <c r="V284" s="490">
        <f t="shared" si="8"/>
        <v>0</v>
      </c>
      <c r="W284" s="490">
        <f t="shared" si="9"/>
        <v>0</v>
      </c>
      <c r="Y284" s="490" t="str">
        <f>IF(U284&gt;'JSM Eingabe+TW'!$CU$92,'JSM Eingabe+TW'!$CU$92," ")</f>
        <v xml:space="preserve"> </v>
      </c>
    </row>
    <row r="285" spans="19:25" x14ac:dyDescent="0.2">
      <c r="S285" s="489">
        <v>98</v>
      </c>
      <c r="T285" s="497">
        <v>268</v>
      </c>
      <c r="U285" s="489">
        <f>LARGE('JSM Eingabe+TW'!$DJ$32:$DU$62,S285)</f>
        <v>9.9999999999999995E-7</v>
      </c>
      <c r="V285" s="490">
        <f t="shared" si="8"/>
        <v>0</v>
      </c>
      <c r="W285" s="490">
        <f t="shared" si="9"/>
        <v>0</v>
      </c>
      <c r="X285" s="490">
        <f>E$31</f>
        <v>0</v>
      </c>
      <c r="Y285" s="490" t="str">
        <f>IF(U285&gt;'JSM Eingabe+TW'!$CU$92,'JSM Eingabe+TW'!$CU$92," ")</f>
        <v xml:space="preserve"> </v>
      </c>
    </row>
    <row r="286" spans="19:25" x14ac:dyDescent="0.2">
      <c r="S286" s="489">
        <v>97</v>
      </c>
      <c r="T286" s="497">
        <v>269</v>
      </c>
      <c r="U286" s="489">
        <f>LARGE('JSM Eingabe+TW'!$DJ$32:$DU$62,S286)</f>
        <v>9.9999999999999995E-7</v>
      </c>
      <c r="V286" s="490">
        <f t="shared" si="8"/>
        <v>0</v>
      </c>
      <c r="W286" s="490">
        <f t="shared" si="9"/>
        <v>0</v>
      </c>
      <c r="Y286" s="490" t="str">
        <f>IF(U286&gt;'JSM Eingabe+TW'!$CU$92,'JSM Eingabe+TW'!$CU$92," ")</f>
        <v xml:space="preserve"> </v>
      </c>
    </row>
    <row r="287" spans="19:25" x14ac:dyDescent="0.2">
      <c r="S287" s="489">
        <v>96</v>
      </c>
      <c r="T287" s="497">
        <v>270</v>
      </c>
      <c r="U287" s="489">
        <f>LARGE('JSM Eingabe+TW'!$DJ$32:$DU$62,S287)</f>
        <v>9.9999999999999995E-7</v>
      </c>
      <c r="V287" s="490">
        <f t="shared" si="8"/>
        <v>0</v>
      </c>
      <c r="W287" s="490">
        <f t="shared" si="9"/>
        <v>0</v>
      </c>
      <c r="Y287" s="490" t="str">
        <f>IF(U287&gt;'JSM Eingabe+TW'!$CU$92,'JSM Eingabe+TW'!$CU$92," ")</f>
        <v xml:space="preserve"> </v>
      </c>
    </row>
    <row r="288" spans="19:25" x14ac:dyDescent="0.2">
      <c r="S288" s="489">
        <v>95</v>
      </c>
      <c r="T288" s="497">
        <v>271</v>
      </c>
      <c r="U288" s="489">
        <f>LARGE('JSM Eingabe+TW'!$DJ$32:$DU$62,S288)</f>
        <v>9.9999999999999995E-7</v>
      </c>
      <c r="V288" s="490">
        <f t="shared" si="8"/>
        <v>0</v>
      </c>
      <c r="W288" s="490">
        <f t="shared" si="9"/>
        <v>0</v>
      </c>
      <c r="Y288" s="490" t="str">
        <f>IF(U288&gt;'JSM Eingabe+TW'!$CU$92,'JSM Eingabe+TW'!$CU$92," ")</f>
        <v xml:space="preserve"> </v>
      </c>
    </row>
    <row r="289" spans="19:25" x14ac:dyDescent="0.2">
      <c r="S289" s="489">
        <v>94</v>
      </c>
      <c r="T289" s="497">
        <v>272</v>
      </c>
      <c r="U289" s="489">
        <f>LARGE('JSM Eingabe+TW'!$DJ$32:$DU$62,S289)</f>
        <v>9.9999999999999995E-7</v>
      </c>
      <c r="V289" s="490">
        <f t="shared" si="8"/>
        <v>0</v>
      </c>
      <c r="W289" s="490">
        <f t="shared" si="9"/>
        <v>0</v>
      </c>
      <c r="Y289" s="490" t="str">
        <f>IF(U289&gt;'JSM Eingabe+TW'!$CU$92,'JSM Eingabe+TW'!$CU$92," ")</f>
        <v xml:space="preserve"> </v>
      </c>
    </row>
    <row r="290" spans="19:25" x14ac:dyDescent="0.2">
      <c r="S290" s="489">
        <v>93</v>
      </c>
      <c r="T290" s="497">
        <v>273</v>
      </c>
      <c r="U290" s="489">
        <f>LARGE('JSM Eingabe+TW'!$DJ$32:$DU$62,S290)</f>
        <v>9.9999999999999995E-7</v>
      </c>
      <c r="V290" s="490">
        <f t="shared" si="8"/>
        <v>0</v>
      </c>
      <c r="W290" s="490">
        <f t="shared" si="9"/>
        <v>0</v>
      </c>
      <c r="X290" s="490">
        <f>E$31</f>
        <v>0</v>
      </c>
      <c r="Y290" s="490" t="str">
        <f>IF(U290&gt;'JSM Eingabe+TW'!$CU$92,'JSM Eingabe+TW'!$CU$92," ")</f>
        <v xml:space="preserve"> </v>
      </c>
    </row>
    <row r="291" spans="19:25" x14ac:dyDescent="0.2">
      <c r="S291" s="489">
        <v>92</v>
      </c>
      <c r="T291" s="497">
        <v>274</v>
      </c>
      <c r="U291" s="489">
        <f>LARGE('JSM Eingabe+TW'!$DJ$32:$DU$62,S291)</f>
        <v>9.9999999999999995E-7</v>
      </c>
      <c r="V291" s="490">
        <f t="shared" si="8"/>
        <v>0</v>
      </c>
      <c r="W291" s="490">
        <f t="shared" si="9"/>
        <v>0</v>
      </c>
      <c r="Y291" s="490" t="str">
        <f>IF(U291&gt;'JSM Eingabe+TW'!$CU$92,'JSM Eingabe+TW'!$CU$92," ")</f>
        <v xml:space="preserve"> </v>
      </c>
    </row>
    <row r="292" spans="19:25" x14ac:dyDescent="0.2">
      <c r="S292" s="489">
        <v>91</v>
      </c>
      <c r="T292" s="497">
        <v>275</v>
      </c>
      <c r="U292" s="489">
        <f>LARGE('JSM Eingabe+TW'!$DJ$32:$DU$62,S292)</f>
        <v>9.9999999999999995E-7</v>
      </c>
      <c r="V292" s="490">
        <f t="shared" si="8"/>
        <v>0</v>
      </c>
      <c r="W292" s="490">
        <f t="shared" si="9"/>
        <v>0</v>
      </c>
      <c r="Y292" s="490" t="str">
        <f>IF(U292&gt;'JSM Eingabe+TW'!$CU$92,'JSM Eingabe+TW'!$CU$92," ")</f>
        <v xml:space="preserve"> </v>
      </c>
    </row>
    <row r="293" spans="19:25" x14ac:dyDescent="0.2">
      <c r="S293" s="489">
        <v>90</v>
      </c>
      <c r="T293" s="497">
        <v>276</v>
      </c>
      <c r="U293" s="489">
        <f>LARGE('JSM Eingabe+TW'!$DJ$32:$DU$62,S293)</f>
        <v>9.9999999999999995E-7</v>
      </c>
      <c r="V293" s="490">
        <f t="shared" si="8"/>
        <v>0</v>
      </c>
      <c r="W293" s="490">
        <f t="shared" si="9"/>
        <v>0</v>
      </c>
      <c r="Y293" s="490" t="str">
        <f>IF(U293&gt;'JSM Eingabe+TW'!$CU$92,'JSM Eingabe+TW'!$CU$92," ")</f>
        <v xml:space="preserve"> </v>
      </c>
    </row>
    <row r="294" spans="19:25" x14ac:dyDescent="0.2">
      <c r="S294" s="489">
        <v>89</v>
      </c>
      <c r="T294" s="497">
        <v>277</v>
      </c>
      <c r="U294" s="489">
        <f>LARGE('JSM Eingabe+TW'!$DJ$32:$DU$62,S294)</f>
        <v>9.9999999999999995E-7</v>
      </c>
      <c r="V294" s="490">
        <f t="shared" si="8"/>
        <v>0</v>
      </c>
      <c r="W294" s="490">
        <f t="shared" si="9"/>
        <v>0</v>
      </c>
      <c r="Y294" s="490" t="str">
        <f>IF(U294&gt;'JSM Eingabe+TW'!$CU$92,'JSM Eingabe+TW'!$CU$92," ")</f>
        <v xml:space="preserve"> </v>
      </c>
    </row>
    <row r="295" spans="19:25" x14ac:dyDescent="0.2">
      <c r="S295" s="489">
        <v>88</v>
      </c>
      <c r="T295" s="497">
        <v>278</v>
      </c>
      <c r="U295" s="489">
        <f>LARGE('JSM Eingabe+TW'!$DJ$32:$DU$62,S295)</f>
        <v>9.9999999999999995E-7</v>
      </c>
      <c r="V295" s="490">
        <f t="shared" si="8"/>
        <v>0</v>
      </c>
      <c r="W295" s="490">
        <f t="shared" si="9"/>
        <v>0</v>
      </c>
      <c r="X295" s="490">
        <f>E$31</f>
        <v>0</v>
      </c>
      <c r="Y295" s="490" t="str">
        <f>IF(U295&gt;'JSM Eingabe+TW'!$CU$92,'JSM Eingabe+TW'!$CU$92," ")</f>
        <v xml:space="preserve"> </v>
      </c>
    </row>
    <row r="296" spans="19:25" x14ac:dyDescent="0.2">
      <c r="S296" s="489">
        <v>87</v>
      </c>
      <c r="T296" s="497">
        <v>279</v>
      </c>
      <c r="U296" s="489">
        <f>LARGE('JSM Eingabe+TW'!$DJ$32:$DU$62,S296)</f>
        <v>9.9999999999999995E-7</v>
      </c>
      <c r="V296" s="490">
        <f t="shared" si="8"/>
        <v>0</v>
      </c>
      <c r="W296" s="490">
        <f t="shared" si="9"/>
        <v>0</v>
      </c>
      <c r="Y296" s="490" t="str">
        <f>IF(U296&gt;'JSM Eingabe+TW'!$CU$92,'JSM Eingabe+TW'!$CU$92," ")</f>
        <v xml:space="preserve"> </v>
      </c>
    </row>
    <row r="297" spans="19:25" x14ac:dyDescent="0.2">
      <c r="S297" s="489">
        <v>86</v>
      </c>
      <c r="T297" s="497">
        <v>280</v>
      </c>
      <c r="U297" s="489">
        <f>LARGE('JSM Eingabe+TW'!$DJ$32:$DU$62,S297)</f>
        <v>9.9999999999999995E-7</v>
      </c>
      <c r="V297" s="490">
        <f t="shared" si="8"/>
        <v>0</v>
      </c>
      <c r="W297" s="490">
        <f t="shared" si="9"/>
        <v>0</v>
      </c>
      <c r="Y297" s="490" t="str">
        <f>IF(U297&gt;'JSM Eingabe+TW'!$CU$92,'JSM Eingabe+TW'!$CU$92," ")</f>
        <v xml:space="preserve"> </v>
      </c>
    </row>
    <row r="298" spans="19:25" x14ac:dyDescent="0.2">
      <c r="S298" s="489">
        <v>85</v>
      </c>
      <c r="T298" s="497">
        <v>281</v>
      </c>
      <c r="U298" s="489">
        <f>LARGE('JSM Eingabe+TW'!$DJ$32:$DU$62,S298)</f>
        <v>9.9999999999999995E-7</v>
      </c>
      <c r="V298" s="490">
        <f t="shared" si="8"/>
        <v>0</v>
      </c>
      <c r="W298" s="490">
        <f t="shared" si="9"/>
        <v>0</v>
      </c>
      <c r="Y298" s="490" t="str">
        <f>IF(U298&gt;'JSM Eingabe+TW'!$CU$92,'JSM Eingabe+TW'!$CU$92," ")</f>
        <v xml:space="preserve"> </v>
      </c>
    </row>
    <row r="299" spans="19:25" x14ac:dyDescent="0.2">
      <c r="S299" s="489">
        <v>84</v>
      </c>
      <c r="T299" s="497">
        <v>282</v>
      </c>
      <c r="U299" s="489">
        <f>LARGE('JSM Eingabe+TW'!$DJ$32:$DU$62,S299)</f>
        <v>9.9999999999999995E-7</v>
      </c>
      <c r="V299" s="490">
        <f t="shared" si="8"/>
        <v>0</v>
      </c>
      <c r="W299" s="490">
        <f t="shared" si="9"/>
        <v>0</v>
      </c>
      <c r="Y299" s="490" t="str">
        <f>IF(U299&gt;'JSM Eingabe+TW'!$CU$92,'JSM Eingabe+TW'!$CU$92," ")</f>
        <v xml:space="preserve"> </v>
      </c>
    </row>
    <row r="300" spans="19:25" x14ac:dyDescent="0.2">
      <c r="S300" s="489">
        <v>83</v>
      </c>
      <c r="T300" s="497">
        <v>283</v>
      </c>
      <c r="U300" s="489">
        <f>LARGE('JSM Eingabe+TW'!$DJ$32:$DU$62,S300)</f>
        <v>9.9999999999999995E-7</v>
      </c>
      <c r="V300" s="490">
        <f t="shared" si="8"/>
        <v>0</v>
      </c>
      <c r="W300" s="490">
        <f t="shared" si="9"/>
        <v>0</v>
      </c>
      <c r="X300" s="490">
        <f>E$31</f>
        <v>0</v>
      </c>
      <c r="Y300" s="490" t="str">
        <f>IF(U300&gt;'JSM Eingabe+TW'!$CU$92,'JSM Eingabe+TW'!$CU$92," ")</f>
        <v xml:space="preserve"> </v>
      </c>
    </row>
    <row r="301" spans="19:25" x14ac:dyDescent="0.2">
      <c r="S301" s="489">
        <v>82</v>
      </c>
      <c r="T301" s="497">
        <v>284</v>
      </c>
      <c r="U301" s="489">
        <f>LARGE('JSM Eingabe+TW'!$DJ$32:$DU$62,S301)</f>
        <v>9.9999999999999995E-7</v>
      </c>
      <c r="V301" s="490">
        <f t="shared" si="8"/>
        <v>0</v>
      </c>
      <c r="W301" s="490">
        <f t="shared" si="9"/>
        <v>0</v>
      </c>
      <c r="Y301" s="490" t="str">
        <f>IF(U301&gt;'JSM Eingabe+TW'!$CU$92,'JSM Eingabe+TW'!$CU$92," ")</f>
        <v xml:space="preserve"> </v>
      </c>
    </row>
    <row r="302" spans="19:25" x14ac:dyDescent="0.2">
      <c r="S302" s="489">
        <v>81</v>
      </c>
      <c r="T302" s="497">
        <v>285</v>
      </c>
      <c r="U302" s="489">
        <f>LARGE('JSM Eingabe+TW'!$DJ$32:$DU$62,S302)</f>
        <v>9.9999999999999995E-7</v>
      </c>
      <c r="V302" s="490">
        <f t="shared" si="8"/>
        <v>0</v>
      </c>
      <c r="W302" s="490">
        <f t="shared" si="9"/>
        <v>0</v>
      </c>
      <c r="Y302" s="490" t="str">
        <f>IF(U302&gt;'JSM Eingabe+TW'!$CU$92,'JSM Eingabe+TW'!$CU$92," ")</f>
        <v xml:space="preserve"> </v>
      </c>
    </row>
    <row r="303" spans="19:25" x14ac:dyDescent="0.2">
      <c r="S303" s="489">
        <v>80</v>
      </c>
      <c r="T303" s="497">
        <v>286</v>
      </c>
      <c r="U303" s="489">
        <f>LARGE('JSM Eingabe+TW'!$DJ$32:$DU$62,S303)</f>
        <v>9.9999999999999995E-7</v>
      </c>
      <c r="V303" s="490">
        <f t="shared" si="8"/>
        <v>0</v>
      </c>
      <c r="W303" s="490">
        <f t="shared" si="9"/>
        <v>0</v>
      </c>
      <c r="Y303" s="490" t="str">
        <f>IF(U303&gt;'JSM Eingabe+TW'!$CU$92,'JSM Eingabe+TW'!$CU$92," ")</f>
        <v xml:space="preserve"> </v>
      </c>
    </row>
    <row r="304" spans="19:25" x14ac:dyDescent="0.2">
      <c r="S304" s="489">
        <v>79</v>
      </c>
      <c r="T304" s="497">
        <v>287</v>
      </c>
      <c r="U304" s="489">
        <f>LARGE('JSM Eingabe+TW'!$DJ$32:$DU$62,S304)</f>
        <v>9.9999999999999995E-7</v>
      </c>
      <c r="V304" s="490">
        <f t="shared" si="8"/>
        <v>0</v>
      </c>
      <c r="W304" s="490">
        <f t="shared" si="9"/>
        <v>0</v>
      </c>
      <c r="Y304" s="490" t="str">
        <f>IF(U304&gt;'JSM Eingabe+TW'!$CU$92,'JSM Eingabe+TW'!$CU$92," ")</f>
        <v xml:space="preserve"> </v>
      </c>
    </row>
    <row r="305" spans="19:25" x14ac:dyDescent="0.2">
      <c r="S305" s="489">
        <v>78</v>
      </c>
      <c r="T305" s="497">
        <v>288</v>
      </c>
      <c r="U305" s="489">
        <f>LARGE('JSM Eingabe+TW'!$DJ$32:$DU$62,S305)</f>
        <v>9.9999999999999995E-7</v>
      </c>
      <c r="V305" s="490">
        <f t="shared" si="8"/>
        <v>0</v>
      </c>
      <c r="W305" s="490">
        <f t="shared" si="9"/>
        <v>0</v>
      </c>
      <c r="X305" s="490">
        <f>E$31</f>
        <v>0</v>
      </c>
      <c r="Y305" s="490" t="str">
        <f>IF(U305&gt;'JSM Eingabe+TW'!$CU$92,'JSM Eingabe+TW'!$CU$92," ")</f>
        <v xml:space="preserve"> </v>
      </c>
    </row>
    <row r="306" spans="19:25" x14ac:dyDescent="0.2">
      <c r="S306" s="489">
        <v>77</v>
      </c>
      <c r="T306" s="497">
        <v>289</v>
      </c>
      <c r="U306" s="489">
        <f>LARGE('JSM Eingabe+TW'!$DJ$32:$DU$62,S306)</f>
        <v>9.9999999999999995E-7</v>
      </c>
      <c r="V306" s="490">
        <f t="shared" si="8"/>
        <v>0</v>
      </c>
      <c r="W306" s="490">
        <f t="shared" si="9"/>
        <v>0</v>
      </c>
      <c r="Y306" s="490" t="str">
        <f>IF(U306&gt;'JSM Eingabe+TW'!$CU$92,'JSM Eingabe+TW'!$CU$92," ")</f>
        <v xml:space="preserve"> </v>
      </c>
    </row>
    <row r="307" spans="19:25" x14ac:dyDescent="0.2">
      <c r="S307" s="489">
        <v>76</v>
      </c>
      <c r="T307" s="497">
        <v>290</v>
      </c>
      <c r="U307" s="489">
        <f>LARGE('JSM Eingabe+TW'!$DJ$32:$DU$62,S307)</f>
        <v>9.9999999999999995E-7</v>
      </c>
      <c r="V307" s="490">
        <f t="shared" si="8"/>
        <v>0</v>
      </c>
      <c r="W307" s="490">
        <f t="shared" si="9"/>
        <v>0</v>
      </c>
      <c r="Y307" s="490" t="str">
        <f>IF(U307&gt;'JSM Eingabe+TW'!$CU$92,'JSM Eingabe+TW'!$CU$92," ")</f>
        <v xml:space="preserve"> </v>
      </c>
    </row>
    <row r="308" spans="19:25" x14ac:dyDescent="0.2">
      <c r="S308" s="489">
        <v>75</v>
      </c>
      <c r="T308" s="497">
        <v>291</v>
      </c>
      <c r="U308" s="489">
        <f>LARGE('JSM Eingabe+TW'!$DJ$32:$DU$62,S308)</f>
        <v>9.9999999999999995E-7</v>
      </c>
      <c r="V308" s="490">
        <f t="shared" si="8"/>
        <v>0</v>
      </c>
      <c r="W308" s="490">
        <f t="shared" si="9"/>
        <v>0</v>
      </c>
      <c r="Y308" s="490" t="str">
        <f>IF(U308&gt;'JSM Eingabe+TW'!$CU$92,'JSM Eingabe+TW'!$CU$92," ")</f>
        <v xml:space="preserve"> </v>
      </c>
    </row>
    <row r="309" spans="19:25" x14ac:dyDescent="0.2">
      <c r="S309" s="489">
        <v>74</v>
      </c>
      <c r="T309" s="497">
        <v>292</v>
      </c>
      <c r="U309" s="489">
        <f>LARGE('JSM Eingabe+TW'!$DJ$32:$DU$62,S309)</f>
        <v>9.9999999999999995E-7</v>
      </c>
      <c r="V309" s="490">
        <f t="shared" si="8"/>
        <v>0</v>
      </c>
      <c r="W309" s="490">
        <f t="shared" si="9"/>
        <v>0</v>
      </c>
      <c r="Y309" s="490" t="str">
        <f>IF(U309&gt;'JSM Eingabe+TW'!$CU$92,'JSM Eingabe+TW'!$CU$92," ")</f>
        <v xml:space="preserve"> </v>
      </c>
    </row>
    <row r="310" spans="19:25" x14ac:dyDescent="0.2">
      <c r="S310" s="489">
        <v>73</v>
      </c>
      <c r="T310" s="497">
        <v>293</v>
      </c>
      <c r="U310" s="489">
        <f>LARGE('JSM Eingabe+TW'!$DJ$32:$DU$62,S310)</f>
        <v>9.9999999999999995E-7</v>
      </c>
      <c r="V310" s="490">
        <f t="shared" si="8"/>
        <v>0</v>
      </c>
      <c r="W310" s="490">
        <f t="shared" si="9"/>
        <v>0</v>
      </c>
      <c r="X310" s="490">
        <f>E$31</f>
        <v>0</v>
      </c>
      <c r="Y310" s="490" t="str">
        <f>IF(U310&gt;'JSM Eingabe+TW'!$CU$92,'JSM Eingabe+TW'!$CU$92," ")</f>
        <v xml:space="preserve"> </v>
      </c>
    </row>
    <row r="311" spans="19:25" x14ac:dyDescent="0.2">
      <c r="S311" s="489">
        <v>72</v>
      </c>
      <c r="T311" s="497">
        <v>294</v>
      </c>
      <c r="U311" s="489">
        <f>LARGE('JSM Eingabe+TW'!$DJ$32:$DU$62,S311)</f>
        <v>9.9999999999999995E-7</v>
      </c>
      <c r="V311" s="490">
        <f t="shared" si="8"/>
        <v>0</v>
      </c>
      <c r="W311" s="490">
        <f t="shared" si="9"/>
        <v>0</v>
      </c>
      <c r="Y311" s="490" t="str">
        <f>IF(U311&gt;'JSM Eingabe+TW'!$CU$92,'JSM Eingabe+TW'!$CU$92," ")</f>
        <v xml:space="preserve"> </v>
      </c>
    </row>
    <row r="312" spans="19:25" x14ac:dyDescent="0.2">
      <c r="S312" s="489">
        <v>71</v>
      </c>
      <c r="T312" s="497">
        <v>295</v>
      </c>
      <c r="U312" s="489">
        <f>LARGE('JSM Eingabe+TW'!$DJ$32:$DU$62,S312)</f>
        <v>9.9999999999999995E-7</v>
      </c>
      <c r="V312" s="490">
        <f t="shared" si="8"/>
        <v>0</v>
      </c>
      <c r="W312" s="490">
        <f t="shared" si="9"/>
        <v>0</v>
      </c>
      <c r="Y312" s="490" t="str">
        <f>IF(U312&gt;'JSM Eingabe+TW'!$CU$92,'JSM Eingabe+TW'!$CU$92," ")</f>
        <v xml:space="preserve"> </v>
      </c>
    </row>
    <row r="313" spans="19:25" x14ac:dyDescent="0.2">
      <c r="S313" s="489">
        <v>70</v>
      </c>
      <c r="T313" s="497">
        <v>296</v>
      </c>
      <c r="U313" s="489">
        <f>LARGE('JSM Eingabe+TW'!$DJ$32:$DU$62,S313)</f>
        <v>9.9999999999999995E-7</v>
      </c>
      <c r="V313" s="490">
        <f t="shared" si="8"/>
        <v>0</v>
      </c>
      <c r="W313" s="490">
        <f t="shared" si="9"/>
        <v>0</v>
      </c>
      <c r="Y313" s="490" t="str">
        <f>IF(U313&gt;'JSM Eingabe+TW'!$CU$92,'JSM Eingabe+TW'!$CU$92," ")</f>
        <v xml:space="preserve"> </v>
      </c>
    </row>
    <row r="314" spans="19:25" x14ac:dyDescent="0.2">
      <c r="S314" s="489">
        <v>69</v>
      </c>
      <c r="T314" s="497">
        <v>297</v>
      </c>
      <c r="U314" s="489">
        <f>LARGE('JSM Eingabe+TW'!$DJ$32:$DU$62,S314)</f>
        <v>9.9999999999999995E-7</v>
      </c>
      <c r="V314" s="490">
        <f t="shared" si="8"/>
        <v>0</v>
      </c>
      <c r="W314" s="490">
        <f t="shared" si="9"/>
        <v>0</v>
      </c>
      <c r="Y314" s="490" t="str">
        <f>IF(U314&gt;'JSM Eingabe+TW'!$CU$92,'JSM Eingabe+TW'!$CU$92," ")</f>
        <v xml:space="preserve"> </v>
      </c>
    </row>
    <row r="315" spans="19:25" x14ac:dyDescent="0.2">
      <c r="S315" s="489">
        <v>68</v>
      </c>
      <c r="T315" s="497">
        <v>298</v>
      </c>
      <c r="U315" s="489">
        <f>LARGE('JSM Eingabe+TW'!$DJ$32:$DU$62,S315)</f>
        <v>9.9999999999999995E-7</v>
      </c>
      <c r="V315" s="490">
        <f t="shared" si="8"/>
        <v>0</v>
      </c>
      <c r="W315" s="490">
        <f t="shared" si="9"/>
        <v>0</v>
      </c>
      <c r="X315" s="490">
        <f>E$31</f>
        <v>0</v>
      </c>
      <c r="Y315" s="490" t="str">
        <f>IF(U315&gt;'JSM Eingabe+TW'!$CU$92,'JSM Eingabe+TW'!$CU$92," ")</f>
        <v xml:space="preserve"> </v>
      </c>
    </row>
    <row r="316" spans="19:25" x14ac:dyDescent="0.2">
      <c r="S316" s="489">
        <v>67</v>
      </c>
      <c r="T316" s="497">
        <v>299</v>
      </c>
      <c r="U316" s="489">
        <f>LARGE('JSM Eingabe+TW'!$DJ$32:$DU$62,S316)</f>
        <v>9.9999999999999995E-7</v>
      </c>
      <c r="V316" s="490">
        <f t="shared" si="8"/>
        <v>0</v>
      </c>
      <c r="W316" s="490">
        <f t="shared" si="9"/>
        <v>0</v>
      </c>
      <c r="Y316" s="490" t="str">
        <f>IF(U316&gt;'JSM Eingabe+TW'!$CU$92,'JSM Eingabe+TW'!$CU$92," ")</f>
        <v xml:space="preserve"> </v>
      </c>
    </row>
    <row r="317" spans="19:25" x14ac:dyDescent="0.2">
      <c r="S317" s="489">
        <v>66</v>
      </c>
      <c r="T317" s="497">
        <v>300</v>
      </c>
      <c r="U317" s="489">
        <f>LARGE('JSM Eingabe+TW'!$DJ$32:$DU$62,S317)</f>
        <v>9.9999999999999995E-7</v>
      </c>
      <c r="V317" s="490">
        <f t="shared" si="8"/>
        <v>0</v>
      </c>
      <c r="W317" s="490">
        <f t="shared" si="9"/>
        <v>0</v>
      </c>
      <c r="Y317" s="490" t="str">
        <f>IF(U317&gt;'JSM Eingabe+TW'!$CU$92,'JSM Eingabe+TW'!$CU$92," ")</f>
        <v xml:space="preserve"> </v>
      </c>
    </row>
    <row r="318" spans="19:25" x14ac:dyDescent="0.2">
      <c r="S318" s="489">
        <v>65</v>
      </c>
      <c r="T318" s="497">
        <v>301</v>
      </c>
      <c r="U318" s="489">
        <f>LARGE('JSM Eingabe+TW'!$DJ$32:$DU$62,S318)</f>
        <v>9.9999999999999995E-7</v>
      </c>
      <c r="V318" s="490">
        <f t="shared" si="8"/>
        <v>0</v>
      </c>
      <c r="W318" s="490">
        <f t="shared" si="9"/>
        <v>0</v>
      </c>
      <c r="Y318" s="490" t="str">
        <f>IF(U318&gt;'JSM Eingabe+TW'!$CU$92,'JSM Eingabe+TW'!$CU$92," ")</f>
        <v xml:space="preserve"> </v>
      </c>
    </row>
    <row r="319" spans="19:25" x14ac:dyDescent="0.2">
      <c r="S319" s="489">
        <v>64</v>
      </c>
      <c r="T319" s="497">
        <v>302</v>
      </c>
      <c r="U319" s="489">
        <f>LARGE('JSM Eingabe+TW'!$DJ$32:$DU$62,S319)</f>
        <v>9.9999999999999995E-7</v>
      </c>
      <c r="V319" s="490">
        <f t="shared" si="8"/>
        <v>0</v>
      </c>
      <c r="W319" s="490">
        <f t="shared" si="9"/>
        <v>0</v>
      </c>
      <c r="Y319" s="490" t="str">
        <f>IF(U319&gt;'JSM Eingabe+TW'!$CU$92,'JSM Eingabe+TW'!$CU$92," ")</f>
        <v xml:space="preserve"> </v>
      </c>
    </row>
    <row r="320" spans="19:25" x14ac:dyDescent="0.2">
      <c r="S320" s="489">
        <v>63</v>
      </c>
      <c r="T320" s="497">
        <v>303</v>
      </c>
      <c r="U320" s="489">
        <f>LARGE('JSM Eingabe+TW'!$DJ$32:$DU$62,S320)</f>
        <v>9.9999999999999995E-7</v>
      </c>
      <c r="V320" s="490">
        <f t="shared" si="8"/>
        <v>0</v>
      </c>
      <c r="W320" s="490">
        <f t="shared" si="9"/>
        <v>0</v>
      </c>
      <c r="X320" s="490">
        <f>E$31</f>
        <v>0</v>
      </c>
      <c r="Y320" s="490" t="str">
        <f>IF(U320&gt;'JSM Eingabe+TW'!$CU$92,'JSM Eingabe+TW'!$CU$92," ")</f>
        <v xml:space="preserve"> </v>
      </c>
    </row>
    <row r="321" spans="19:25" x14ac:dyDescent="0.2">
      <c r="S321" s="489">
        <v>62</v>
      </c>
      <c r="T321" s="497">
        <v>304</v>
      </c>
      <c r="U321" s="489">
        <f>LARGE('JSM Eingabe+TW'!$DJ$32:$DU$62,S321)</f>
        <v>9.9999999999999995E-7</v>
      </c>
      <c r="V321" s="490">
        <f t="shared" si="8"/>
        <v>0</v>
      </c>
      <c r="W321" s="490">
        <f t="shared" si="9"/>
        <v>0</v>
      </c>
      <c r="Y321" s="490" t="str">
        <f>IF(U321&gt;'JSM Eingabe+TW'!$CU$92,'JSM Eingabe+TW'!$CU$92," ")</f>
        <v xml:space="preserve"> </v>
      </c>
    </row>
    <row r="322" spans="19:25" x14ac:dyDescent="0.2">
      <c r="S322" s="489">
        <v>61</v>
      </c>
      <c r="T322" s="497">
        <v>305</v>
      </c>
      <c r="U322" s="489">
        <f>LARGE('JSM Eingabe+TW'!$DJ$32:$DU$62,S322)</f>
        <v>9.9999999999999995E-7</v>
      </c>
      <c r="V322" s="490">
        <f t="shared" si="8"/>
        <v>0</v>
      </c>
      <c r="W322" s="490">
        <f t="shared" si="9"/>
        <v>0</v>
      </c>
      <c r="Y322" s="490" t="str">
        <f>IF(U322&gt;'JSM Eingabe+TW'!$CU$92,'JSM Eingabe+TW'!$CU$92," ")</f>
        <v xml:space="preserve"> </v>
      </c>
    </row>
    <row r="323" spans="19:25" x14ac:dyDescent="0.2">
      <c r="S323" s="489">
        <v>60</v>
      </c>
      <c r="T323" s="497">
        <v>306</v>
      </c>
      <c r="U323" s="489">
        <f>LARGE('JSM Eingabe+TW'!$DJ$32:$DU$62,S323)</f>
        <v>9.9999999999999995E-7</v>
      </c>
      <c r="V323" s="490">
        <f t="shared" si="8"/>
        <v>0</v>
      </c>
      <c r="W323" s="490">
        <f t="shared" si="9"/>
        <v>0</v>
      </c>
      <c r="Y323" s="490" t="str">
        <f>IF(U323&gt;'JSM Eingabe+TW'!$CU$92,'JSM Eingabe+TW'!$CU$92," ")</f>
        <v xml:space="preserve"> </v>
      </c>
    </row>
    <row r="324" spans="19:25" x14ac:dyDescent="0.2">
      <c r="S324" s="489">
        <v>59</v>
      </c>
      <c r="T324" s="497">
        <v>307</v>
      </c>
      <c r="U324" s="489">
        <f>LARGE('JSM Eingabe+TW'!$DJ$32:$DU$62,S324)</f>
        <v>9.9999999999999995E-7</v>
      </c>
      <c r="V324" s="490">
        <f t="shared" si="8"/>
        <v>0</v>
      </c>
      <c r="W324" s="490">
        <f t="shared" si="9"/>
        <v>0</v>
      </c>
      <c r="Y324" s="490" t="str">
        <f>IF(U324&gt;'JSM Eingabe+TW'!$CU$92,'JSM Eingabe+TW'!$CU$92," ")</f>
        <v xml:space="preserve"> </v>
      </c>
    </row>
    <row r="325" spans="19:25" x14ac:dyDescent="0.2">
      <c r="S325" s="489">
        <v>58</v>
      </c>
      <c r="T325" s="497">
        <v>308</v>
      </c>
      <c r="U325" s="489">
        <f>LARGE('JSM Eingabe+TW'!$DJ$32:$DU$62,S325)</f>
        <v>9.9999999999999995E-7</v>
      </c>
      <c r="V325" s="490">
        <f t="shared" si="8"/>
        <v>0</v>
      </c>
      <c r="W325" s="490">
        <f t="shared" si="9"/>
        <v>0</v>
      </c>
      <c r="X325" s="490">
        <f>E$31</f>
        <v>0</v>
      </c>
      <c r="Y325" s="490" t="str">
        <f>IF(U325&gt;'JSM Eingabe+TW'!$CU$92,'JSM Eingabe+TW'!$CU$92," ")</f>
        <v xml:space="preserve"> </v>
      </c>
    </row>
    <row r="326" spans="19:25" x14ac:dyDescent="0.2">
      <c r="S326" s="489">
        <v>57</v>
      </c>
      <c r="T326" s="497">
        <v>309</v>
      </c>
      <c r="U326" s="489">
        <f>LARGE('JSM Eingabe+TW'!$DJ$32:$DU$62,S326)</f>
        <v>9.9999999999999995E-7</v>
      </c>
      <c r="V326" s="490">
        <f t="shared" si="8"/>
        <v>0</v>
      </c>
      <c r="W326" s="490">
        <f t="shared" si="9"/>
        <v>0</v>
      </c>
      <c r="Y326" s="490" t="str">
        <f>IF(U326&gt;'JSM Eingabe+TW'!$CU$92,'JSM Eingabe+TW'!$CU$92," ")</f>
        <v xml:space="preserve"> </v>
      </c>
    </row>
    <row r="327" spans="19:25" x14ac:dyDescent="0.2">
      <c r="S327" s="489">
        <v>56</v>
      </c>
      <c r="T327" s="497">
        <v>310</v>
      </c>
      <c r="U327" s="489">
        <f>LARGE('JSM Eingabe+TW'!$DJ$32:$DU$62,S327)</f>
        <v>9.9999999999999995E-7</v>
      </c>
      <c r="V327" s="490">
        <f t="shared" si="8"/>
        <v>0</v>
      </c>
      <c r="W327" s="490">
        <f t="shared" si="9"/>
        <v>0</v>
      </c>
      <c r="Y327" s="490" t="str">
        <f>IF(U327&gt;'JSM Eingabe+TW'!$CU$92,'JSM Eingabe+TW'!$CU$92," ")</f>
        <v xml:space="preserve"> </v>
      </c>
    </row>
    <row r="328" spans="19:25" x14ac:dyDescent="0.2">
      <c r="S328" s="489">
        <v>55</v>
      </c>
      <c r="T328" s="497">
        <v>311</v>
      </c>
      <c r="U328" s="489">
        <f>LARGE('JSM Eingabe+TW'!$DJ$32:$DU$62,S328)</f>
        <v>9.9999999999999995E-7</v>
      </c>
      <c r="V328" s="490">
        <f t="shared" si="8"/>
        <v>0</v>
      </c>
      <c r="W328" s="490">
        <f t="shared" si="9"/>
        <v>0</v>
      </c>
      <c r="Y328" s="490" t="str">
        <f>IF(U328&gt;'JSM Eingabe+TW'!$CU$92,'JSM Eingabe+TW'!$CU$92," ")</f>
        <v xml:space="preserve"> </v>
      </c>
    </row>
    <row r="329" spans="19:25" x14ac:dyDescent="0.2">
      <c r="S329" s="489">
        <v>54</v>
      </c>
      <c r="T329" s="497">
        <v>312</v>
      </c>
      <c r="U329" s="489">
        <f>LARGE('JSM Eingabe+TW'!$DJ$32:$DU$62,S329)</f>
        <v>9.9999999999999995E-7</v>
      </c>
      <c r="V329" s="490">
        <f t="shared" si="8"/>
        <v>0</v>
      </c>
      <c r="W329" s="490">
        <f t="shared" si="9"/>
        <v>0</v>
      </c>
      <c r="Y329" s="490" t="str">
        <f>IF(U329&gt;'JSM Eingabe+TW'!$CU$92,'JSM Eingabe+TW'!$CU$92," ")</f>
        <v xml:space="preserve"> </v>
      </c>
    </row>
    <row r="330" spans="19:25" x14ac:dyDescent="0.2">
      <c r="S330" s="489">
        <v>53</v>
      </c>
      <c r="T330" s="497">
        <v>313</v>
      </c>
      <c r="U330" s="489">
        <f>LARGE('JSM Eingabe+TW'!$DJ$32:$DU$62,S330)</f>
        <v>9.9999999999999995E-7</v>
      </c>
      <c r="V330" s="490">
        <f t="shared" si="8"/>
        <v>0</v>
      </c>
      <c r="W330" s="490">
        <f t="shared" si="9"/>
        <v>0</v>
      </c>
      <c r="X330" s="490">
        <f>E$31</f>
        <v>0</v>
      </c>
      <c r="Y330" s="490" t="str">
        <f>IF(U330&gt;'JSM Eingabe+TW'!$CU$92,'JSM Eingabe+TW'!$CU$92," ")</f>
        <v xml:space="preserve"> </v>
      </c>
    </row>
    <row r="331" spans="19:25" x14ac:dyDescent="0.2">
      <c r="S331" s="489">
        <v>52</v>
      </c>
      <c r="T331" s="497">
        <v>314</v>
      </c>
      <c r="U331" s="489">
        <f>LARGE('JSM Eingabe+TW'!$DJ$32:$DU$62,S331)</f>
        <v>9.9999999999999995E-7</v>
      </c>
      <c r="V331" s="490">
        <f t="shared" si="8"/>
        <v>0</v>
      </c>
      <c r="W331" s="490">
        <f t="shared" si="9"/>
        <v>0</v>
      </c>
      <c r="Y331" s="490" t="str">
        <f>IF(U331&gt;'JSM Eingabe+TW'!$CU$92,'JSM Eingabe+TW'!$CU$92," ")</f>
        <v xml:space="preserve"> </v>
      </c>
    </row>
    <row r="332" spans="19:25" x14ac:dyDescent="0.2">
      <c r="S332" s="489">
        <v>51</v>
      </c>
      <c r="T332" s="497">
        <v>315</v>
      </c>
      <c r="U332" s="489">
        <f>LARGE('JSM Eingabe+TW'!$DJ$32:$DU$62,S332)</f>
        <v>9.9999999999999995E-7</v>
      </c>
      <c r="V332" s="490">
        <f t="shared" si="8"/>
        <v>0</v>
      </c>
      <c r="W332" s="490">
        <f t="shared" si="9"/>
        <v>0</v>
      </c>
      <c r="Y332" s="490" t="str">
        <f>IF(U332&gt;'JSM Eingabe+TW'!$CU$92,'JSM Eingabe+TW'!$CU$92," ")</f>
        <v xml:space="preserve"> </v>
      </c>
    </row>
    <row r="333" spans="19:25" x14ac:dyDescent="0.2">
      <c r="S333" s="489">
        <v>50</v>
      </c>
      <c r="T333" s="497">
        <v>316</v>
      </c>
      <c r="U333" s="489">
        <f>LARGE('JSM Eingabe+TW'!$DJ$32:$DU$62,S333)</f>
        <v>9.9999999999999995E-7</v>
      </c>
      <c r="V333" s="490">
        <f t="shared" si="8"/>
        <v>0</v>
      </c>
      <c r="W333" s="490">
        <f t="shared" si="9"/>
        <v>0</v>
      </c>
      <c r="Y333" s="490" t="str">
        <f>IF(U333&gt;'JSM Eingabe+TW'!$CU$92,'JSM Eingabe+TW'!$CU$92," ")</f>
        <v xml:space="preserve"> </v>
      </c>
    </row>
    <row r="334" spans="19:25" x14ac:dyDescent="0.2">
      <c r="S334" s="489">
        <v>49</v>
      </c>
      <c r="T334" s="497">
        <v>317</v>
      </c>
      <c r="U334" s="489">
        <f>LARGE('JSM Eingabe+TW'!$DJ$32:$DU$62,S334)</f>
        <v>9.9999999999999995E-7</v>
      </c>
      <c r="V334" s="490">
        <f t="shared" si="8"/>
        <v>0</v>
      </c>
      <c r="W334" s="490">
        <f t="shared" si="9"/>
        <v>0</v>
      </c>
      <c r="Y334" s="490" t="str">
        <f>IF(U334&gt;'JSM Eingabe+TW'!$CU$92,'JSM Eingabe+TW'!$CU$92," ")</f>
        <v xml:space="preserve"> </v>
      </c>
    </row>
    <row r="335" spans="19:25" x14ac:dyDescent="0.2">
      <c r="S335" s="489">
        <v>48</v>
      </c>
      <c r="T335" s="497">
        <v>318</v>
      </c>
      <c r="U335" s="489">
        <f>LARGE('JSM Eingabe+TW'!$DJ$32:$DU$62,S335)</f>
        <v>9.9999999999999995E-7</v>
      </c>
      <c r="V335" s="490">
        <f t="shared" si="8"/>
        <v>0</v>
      </c>
      <c r="W335" s="490">
        <f t="shared" si="9"/>
        <v>0</v>
      </c>
      <c r="X335" s="490">
        <f>E$31</f>
        <v>0</v>
      </c>
      <c r="Y335" s="490" t="str">
        <f>IF(U335&gt;'JSM Eingabe+TW'!$CU$92,'JSM Eingabe+TW'!$CU$92," ")</f>
        <v xml:space="preserve"> </v>
      </c>
    </row>
    <row r="336" spans="19:25" x14ac:dyDescent="0.2">
      <c r="S336" s="489">
        <v>47</v>
      </c>
      <c r="T336" s="497">
        <v>319</v>
      </c>
      <c r="U336" s="489">
        <f>LARGE('JSM Eingabe+TW'!$DJ$32:$DU$62,S336)</f>
        <v>9.9999999999999995E-7</v>
      </c>
      <c r="V336" s="490">
        <f t="shared" si="8"/>
        <v>0</v>
      </c>
      <c r="W336" s="490">
        <f t="shared" si="9"/>
        <v>0</v>
      </c>
      <c r="Y336" s="490" t="str">
        <f>IF(U336&gt;'JSM Eingabe+TW'!$CU$92,'JSM Eingabe+TW'!$CU$92," ")</f>
        <v xml:space="preserve"> </v>
      </c>
    </row>
    <row r="337" spans="19:25" x14ac:dyDescent="0.2">
      <c r="S337" s="489">
        <v>46</v>
      </c>
      <c r="T337" s="497">
        <v>320</v>
      </c>
      <c r="U337" s="489">
        <f>LARGE('JSM Eingabe+TW'!$DJ$32:$DU$62,S337)</f>
        <v>9.9999999999999995E-7</v>
      </c>
      <c r="V337" s="490">
        <f t="shared" si="8"/>
        <v>0</v>
      </c>
      <c r="W337" s="490">
        <f t="shared" si="9"/>
        <v>0</v>
      </c>
      <c r="Y337" s="490" t="str">
        <f>IF(U337&gt;'JSM Eingabe+TW'!$CU$92,'JSM Eingabe+TW'!$CU$92," ")</f>
        <v xml:space="preserve"> </v>
      </c>
    </row>
    <row r="338" spans="19:25" x14ac:dyDescent="0.2">
      <c r="S338" s="489">
        <v>45</v>
      </c>
      <c r="T338" s="497">
        <v>321</v>
      </c>
      <c r="U338" s="489">
        <f>LARGE('JSM Eingabe+TW'!$DJ$32:$DU$62,S338)</f>
        <v>9.9999999999999995E-7</v>
      </c>
      <c r="V338" s="490">
        <f t="shared" ref="V338:V382" si="10">IF(T338=V$13,LARGE(U$18:U$382,1),0)</f>
        <v>0</v>
      </c>
      <c r="W338" s="490">
        <f t="shared" ref="W338:W382" si="11">IF(T338=W$13,LARGE(U$18:U$382,1),0)</f>
        <v>0</v>
      </c>
      <c r="Y338" s="490" t="str">
        <f>IF(U338&gt;'JSM Eingabe+TW'!$CU$92,'JSM Eingabe+TW'!$CU$92," ")</f>
        <v xml:space="preserve"> </v>
      </c>
    </row>
    <row r="339" spans="19:25" x14ac:dyDescent="0.2">
      <c r="S339" s="489">
        <v>44</v>
      </c>
      <c r="T339" s="497">
        <v>322</v>
      </c>
      <c r="U339" s="489">
        <f>LARGE('JSM Eingabe+TW'!$DJ$32:$DU$62,S339)</f>
        <v>9.9999999999999995E-7</v>
      </c>
      <c r="V339" s="490">
        <f t="shared" si="10"/>
        <v>0</v>
      </c>
      <c r="W339" s="490">
        <f t="shared" si="11"/>
        <v>0</v>
      </c>
      <c r="Y339" s="490" t="str">
        <f>IF(U339&gt;'JSM Eingabe+TW'!$CU$92,'JSM Eingabe+TW'!$CU$92," ")</f>
        <v xml:space="preserve"> </v>
      </c>
    </row>
    <row r="340" spans="19:25" x14ac:dyDescent="0.2">
      <c r="S340" s="489">
        <v>43</v>
      </c>
      <c r="T340" s="497">
        <v>323</v>
      </c>
      <c r="U340" s="489">
        <f>LARGE('JSM Eingabe+TW'!$DJ$32:$DU$62,S340)</f>
        <v>9.9999999999999995E-7</v>
      </c>
      <c r="V340" s="490">
        <f t="shared" si="10"/>
        <v>0</v>
      </c>
      <c r="W340" s="490">
        <f t="shared" si="11"/>
        <v>0</v>
      </c>
      <c r="X340" s="490">
        <f>E$31</f>
        <v>0</v>
      </c>
      <c r="Y340" s="490" t="str">
        <f>IF(U340&gt;'JSM Eingabe+TW'!$CU$92,'JSM Eingabe+TW'!$CU$92," ")</f>
        <v xml:space="preserve"> </v>
      </c>
    </row>
    <row r="341" spans="19:25" x14ac:dyDescent="0.2">
      <c r="S341" s="489">
        <v>42</v>
      </c>
      <c r="T341" s="497">
        <v>324</v>
      </c>
      <c r="U341" s="489">
        <f>LARGE('JSM Eingabe+TW'!$DJ$32:$DU$62,S341)</f>
        <v>9.9999999999999995E-7</v>
      </c>
      <c r="V341" s="490">
        <f t="shared" si="10"/>
        <v>0</v>
      </c>
      <c r="W341" s="490">
        <f t="shared" si="11"/>
        <v>0</v>
      </c>
      <c r="Y341" s="490" t="str">
        <f>IF(U341&gt;'JSM Eingabe+TW'!$CU$92,'JSM Eingabe+TW'!$CU$92," ")</f>
        <v xml:space="preserve"> </v>
      </c>
    </row>
    <row r="342" spans="19:25" x14ac:dyDescent="0.2">
      <c r="S342" s="489">
        <v>41</v>
      </c>
      <c r="T342" s="497">
        <v>325</v>
      </c>
      <c r="U342" s="489">
        <f>LARGE('JSM Eingabe+TW'!$DJ$32:$DU$62,S342)</f>
        <v>9.9999999999999995E-7</v>
      </c>
      <c r="V342" s="490">
        <f t="shared" si="10"/>
        <v>0</v>
      </c>
      <c r="W342" s="490">
        <f t="shared" si="11"/>
        <v>0</v>
      </c>
      <c r="Y342" s="490" t="str">
        <f>IF(U342&gt;'JSM Eingabe+TW'!$CU$92,'JSM Eingabe+TW'!$CU$92," ")</f>
        <v xml:space="preserve"> </v>
      </c>
    </row>
    <row r="343" spans="19:25" x14ac:dyDescent="0.2">
      <c r="S343" s="489">
        <v>40</v>
      </c>
      <c r="T343" s="497">
        <v>326</v>
      </c>
      <c r="U343" s="489">
        <f>LARGE('JSM Eingabe+TW'!$DJ$32:$DU$62,S343)</f>
        <v>9.9999999999999995E-7</v>
      </c>
      <c r="V343" s="490">
        <f t="shared" si="10"/>
        <v>0</v>
      </c>
      <c r="W343" s="490">
        <f t="shared" si="11"/>
        <v>0</v>
      </c>
      <c r="Y343" s="490" t="str">
        <f>IF(U343&gt;'JSM Eingabe+TW'!$CU$92,'JSM Eingabe+TW'!$CU$92," ")</f>
        <v xml:space="preserve"> </v>
      </c>
    </row>
    <row r="344" spans="19:25" x14ac:dyDescent="0.2">
      <c r="S344" s="489">
        <v>39</v>
      </c>
      <c r="T344" s="497">
        <v>327</v>
      </c>
      <c r="U344" s="489">
        <f>LARGE('JSM Eingabe+TW'!$DJ$32:$DU$62,S344)</f>
        <v>9.9999999999999995E-7</v>
      </c>
      <c r="V344" s="490">
        <f t="shared" si="10"/>
        <v>0</v>
      </c>
      <c r="W344" s="490">
        <f t="shared" si="11"/>
        <v>0</v>
      </c>
      <c r="Y344" s="490" t="str">
        <f>IF(U344&gt;'JSM Eingabe+TW'!$CU$92,'JSM Eingabe+TW'!$CU$92," ")</f>
        <v xml:space="preserve"> </v>
      </c>
    </row>
    <row r="345" spans="19:25" x14ac:dyDescent="0.2">
      <c r="S345" s="489">
        <v>38</v>
      </c>
      <c r="T345" s="497">
        <v>328</v>
      </c>
      <c r="U345" s="489">
        <f>LARGE('JSM Eingabe+TW'!$DJ$32:$DU$62,S345)</f>
        <v>9.9999999999999995E-7</v>
      </c>
      <c r="V345" s="490">
        <f t="shared" si="10"/>
        <v>0</v>
      </c>
      <c r="W345" s="490">
        <f t="shared" si="11"/>
        <v>0</v>
      </c>
      <c r="X345" s="490">
        <f>E$31</f>
        <v>0</v>
      </c>
      <c r="Y345" s="490" t="str">
        <f>IF(U345&gt;'JSM Eingabe+TW'!$CU$92,'JSM Eingabe+TW'!$CU$92," ")</f>
        <v xml:space="preserve"> </v>
      </c>
    </row>
    <row r="346" spans="19:25" x14ac:dyDescent="0.2">
      <c r="S346" s="489">
        <v>37</v>
      </c>
      <c r="T346" s="497">
        <v>329</v>
      </c>
      <c r="U346" s="489">
        <f>LARGE('JSM Eingabe+TW'!$DJ$32:$DU$62,S346)</f>
        <v>9.9999999999999995E-7</v>
      </c>
      <c r="V346" s="490">
        <f t="shared" si="10"/>
        <v>0</v>
      </c>
      <c r="W346" s="490">
        <f t="shared" si="11"/>
        <v>0</v>
      </c>
      <c r="Y346" s="490" t="str">
        <f>IF(U346&gt;'JSM Eingabe+TW'!$CU$92,'JSM Eingabe+TW'!$CU$92," ")</f>
        <v xml:space="preserve"> </v>
      </c>
    </row>
    <row r="347" spans="19:25" x14ac:dyDescent="0.2">
      <c r="S347" s="489">
        <v>36</v>
      </c>
      <c r="T347" s="497">
        <v>330</v>
      </c>
      <c r="U347" s="489">
        <f>LARGE('JSM Eingabe+TW'!$DJ$32:$DU$62,S347)</f>
        <v>9.9999999999999995E-7</v>
      </c>
      <c r="V347" s="490">
        <f t="shared" si="10"/>
        <v>0</v>
      </c>
      <c r="W347" s="490">
        <f t="shared" si="11"/>
        <v>0</v>
      </c>
      <c r="Y347" s="490" t="str">
        <f>IF(U347&gt;'JSM Eingabe+TW'!$CU$92,'JSM Eingabe+TW'!$CU$92," ")</f>
        <v xml:space="preserve"> </v>
      </c>
    </row>
    <row r="348" spans="19:25" x14ac:dyDescent="0.2">
      <c r="S348" s="489">
        <v>35</v>
      </c>
      <c r="T348" s="497">
        <v>331</v>
      </c>
      <c r="U348" s="489">
        <f>LARGE('JSM Eingabe+TW'!$DJ$32:$DU$62,S348)</f>
        <v>9.9999999999999995E-7</v>
      </c>
      <c r="V348" s="490">
        <f t="shared" si="10"/>
        <v>0</v>
      </c>
      <c r="W348" s="490">
        <f t="shared" si="11"/>
        <v>0</v>
      </c>
      <c r="Y348" s="490" t="str">
        <f>IF(U348&gt;'JSM Eingabe+TW'!$CU$92,'JSM Eingabe+TW'!$CU$92," ")</f>
        <v xml:space="preserve"> </v>
      </c>
    </row>
    <row r="349" spans="19:25" x14ac:dyDescent="0.2">
      <c r="S349" s="489">
        <v>34</v>
      </c>
      <c r="T349" s="497">
        <v>332</v>
      </c>
      <c r="U349" s="489">
        <f>LARGE('JSM Eingabe+TW'!$DJ$32:$DU$62,S349)</f>
        <v>9.9999999999999995E-7</v>
      </c>
      <c r="V349" s="490">
        <f t="shared" si="10"/>
        <v>0</v>
      </c>
      <c r="W349" s="490">
        <f t="shared" si="11"/>
        <v>0</v>
      </c>
      <c r="Y349" s="490" t="str">
        <f>IF(U349&gt;'JSM Eingabe+TW'!$CU$92,'JSM Eingabe+TW'!$CU$92," ")</f>
        <v xml:space="preserve"> </v>
      </c>
    </row>
    <row r="350" spans="19:25" x14ac:dyDescent="0.2">
      <c r="S350" s="489">
        <v>33</v>
      </c>
      <c r="T350" s="497">
        <v>333</v>
      </c>
      <c r="U350" s="489">
        <f>LARGE('JSM Eingabe+TW'!$DJ$32:$DU$62,S350)</f>
        <v>9.9999999999999995E-7</v>
      </c>
      <c r="V350" s="490">
        <f t="shared" si="10"/>
        <v>0</v>
      </c>
      <c r="W350" s="490">
        <f t="shared" si="11"/>
        <v>0</v>
      </c>
      <c r="X350" s="490">
        <f>E$31</f>
        <v>0</v>
      </c>
      <c r="Y350" s="490" t="str">
        <f>IF(U350&gt;'JSM Eingabe+TW'!$CU$92,'JSM Eingabe+TW'!$CU$92," ")</f>
        <v xml:space="preserve"> </v>
      </c>
    </row>
    <row r="351" spans="19:25" x14ac:dyDescent="0.2">
      <c r="S351" s="489">
        <v>32</v>
      </c>
      <c r="T351" s="497">
        <v>334</v>
      </c>
      <c r="U351" s="489">
        <f>LARGE('JSM Eingabe+TW'!$DJ$32:$DU$62,S351)</f>
        <v>9.9999999999999995E-7</v>
      </c>
      <c r="V351" s="490">
        <f t="shared" si="10"/>
        <v>0</v>
      </c>
      <c r="W351" s="490">
        <f t="shared" si="11"/>
        <v>0</v>
      </c>
      <c r="Y351" s="490" t="str">
        <f>IF(U351&gt;'JSM Eingabe+TW'!$CU$92,'JSM Eingabe+TW'!$CU$92," ")</f>
        <v xml:space="preserve"> </v>
      </c>
    </row>
    <row r="352" spans="19:25" x14ac:dyDescent="0.2">
      <c r="S352" s="489">
        <v>31</v>
      </c>
      <c r="T352" s="497">
        <v>335</v>
      </c>
      <c r="U352" s="489">
        <f>LARGE('JSM Eingabe+TW'!$DJ$32:$DU$62,S352)</f>
        <v>9.9999999999999995E-7</v>
      </c>
      <c r="V352" s="490">
        <f t="shared" si="10"/>
        <v>0</v>
      </c>
      <c r="W352" s="490">
        <f t="shared" si="11"/>
        <v>0</v>
      </c>
      <c r="Y352" s="490" t="str">
        <f>IF(U352&gt;'JSM Eingabe+TW'!$CU$92,'JSM Eingabe+TW'!$CU$92," ")</f>
        <v xml:space="preserve"> </v>
      </c>
    </row>
    <row r="353" spans="19:25" x14ac:dyDescent="0.2">
      <c r="S353" s="489">
        <v>30</v>
      </c>
      <c r="T353" s="497">
        <v>336</v>
      </c>
      <c r="U353" s="489">
        <f>LARGE('JSM Eingabe+TW'!$DJ$32:$DU$62,S353)</f>
        <v>9.9999999999999995E-7</v>
      </c>
      <c r="V353" s="490">
        <f t="shared" si="10"/>
        <v>0</v>
      </c>
      <c r="W353" s="490">
        <f t="shared" si="11"/>
        <v>0</v>
      </c>
      <c r="Y353" s="490" t="str">
        <f>IF(U353&gt;'JSM Eingabe+TW'!$CU$92,'JSM Eingabe+TW'!$CU$92," ")</f>
        <v xml:space="preserve"> </v>
      </c>
    </row>
    <row r="354" spans="19:25" x14ac:dyDescent="0.2">
      <c r="S354" s="489">
        <v>29</v>
      </c>
      <c r="T354" s="497">
        <v>337</v>
      </c>
      <c r="U354" s="489">
        <f>LARGE('JSM Eingabe+TW'!$DJ$32:$DU$62,S354)</f>
        <v>9.9999999999999995E-7</v>
      </c>
      <c r="V354" s="490">
        <f t="shared" si="10"/>
        <v>0</v>
      </c>
      <c r="W354" s="490">
        <f t="shared" si="11"/>
        <v>0</v>
      </c>
      <c r="Y354" s="490" t="str">
        <f>IF(U354&gt;'JSM Eingabe+TW'!$CU$92,'JSM Eingabe+TW'!$CU$92," ")</f>
        <v xml:space="preserve"> </v>
      </c>
    </row>
    <row r="355" spans="19:25" x14ac:dyDescent="0.2">
      <c r="S355" s="489">
        <v>28</v>
      </c>
      <c r="T355" s="497">
        <v>338</v>
      </c>
      <c r="U355" s="489">
        <f>LARGE('JSM Eingabe+TW'!$DJ$32:$DU$62,S355)</f>
        <v>9.9999999999999995E-7</v>
      </c>
      <c r="V355" s="490">
        <f t="shared" si="10"/>
        <v>0</v>
      </c>
      <c r="W355" s="490">
        <f t="shared" si="11"/>
        <v>0</v>
      </c>
      <c r="X355" s="490">
        <f>E$31</f>
        <v>0</v>
      </c>
      <c r="Y355" s="490" t="str">
        <f>IF(U355&gt;'JSM Eingabe+TW'!$CU$92,'JSM Eingabe+TW'!$CU$92," ")</f>
        <v xml:space="preserve"> </v>
      </c>
    </row>
    <row r="356" spans="19:25" x14ac:dyDescent="0.2">
      <c r="S356" s="489">
        <v>27</v>
      </c>
      <c r="T356" s="497">
        <v>339</v>
      </c>
      <c r="U356" s="489">
        <f>LARGE('JSM Eingabe+TW'!$DJ$32:$DU$62,S356)</f>
        <v>9.9999999999999995E-7</v>
      </c>
      <c r="V356" s="490">
        <f t="shared" si="10"/>
        <v>0</v>
      </c>
      <c r="W356" s="490">
        <f t="shared" si="11"/>
        <v>0</v>
      </c>
      <c r="Y356" s="490" t="str">
        <f>IF(U356&gt;'JSM Eingabe+TW'!$CU$92,'JSM Eingabe+TW'!$CU$92," ")</f>
        <v xml:space="preserve"> </v>
      </c>
    </row>
    <row r="357" spans="19:25" x14ac:dyDescent="0.2">
      <c r="S357" s="489">
        <v>26</v>
      </c>
      <c r="T357" s="497">
        <v>340</v>
      </c>
      <c r="U357" s="489">
        <f>LARGE('JSM Eingabe+TW'!$DJ$32:$DU$62,S357)</f>
        <v>9.9999999999999995E-7</v>
      </c>
      <c r="V357" s="490">
        <f t="shared" si="10"/>
        <v>0</v>
      </c>
      <c r="W357" s="490">
        <f t="shared" si="11"/>
        <v>0</v>
      </c>
      <c r="Y357" s="490" t="str">
        <f>IF(U357&gt;'JSM Eingabe+TW'!$CU$92,'JSM Eingabe+TW'!$CU$92," ")</f>
        <v xml:space="preserve"> </v>
      </c>
    </row>
    <row r="358" spans="19:25" x14ac:dyDescent="0.2">
      <c r="S358" s="489">
        <v>25</v>
      </c>
      <c r="T358" s="497">
        <v>341</v>
      </c>
      <c r="U358" s="489">
        <f>LARGE('JSM Eingabe+TW'!$DJ$32:$DU$62,S358)</f>
        <v>9.9999999999999995E-7</v>
      </c>
      <c r="V358" s="490">
        <f t="shared" si="10"/>
        <v>0</v>
      </c>
      <c r="W358" s="490">
        <f t="shared" si="11"/>
        <v>0</v>
      </c>
      <c r="Y358" s="490" t="str">
        <f>IF(U358&gt;'JSM Eingabe+TW'!$CU$92,'JSM Eingabe+TW'!$CU$92," ")</f>
        <v xml:space="preserve"> </v>
      </c>
    </row>
    <row r="359" spans="19:25" x14ac:dyDescent="0.2">
      <c r="S359" s="489">
        <v>24</v>
      </c>
      <c r="T359" s="497">
        <v>342</v>
      </c>
      <c r="U359" s="489">
        <f>LARGE('JSM Eingabe+TW'!$DJ$32:$DU$62,S359)</f>
        <v>9.9999999999999995E-7</v>
      </c>
      <c r="V359" s="490">
        <f t="shared" si="10"/>
        <v>0</v>
      </c>
      <c r="W359" s="490">
        <f t="shared" si="11"/>
        <v>0</v>
      </c>
      <c r="Y359" s="490" t="str">
        <f>IF(U359&gt;'JSM Eingabe+TW'!$CU$92,'JSM Eingabe+TW'!$CU$92," ")</f>
        <v xml:space="preserve"> </v>
      </c>
    </row>
    <row r="360" spans="19:25" x14ac:dyDescent="0.2">
      <c r="S360" s="489">
        <v>23</v>
      </c>
      <c r="T360" s="497">
        <v>343</v>
      </c>
      <c r="U360" s="489">
        <f>LARGE('JSM Eingabe+TW'!$DJ$32:$DU$62,S360)</f>
        <v>9.9999999999999995E-7</v>
      </c>
      <c r="V360" s="490">
        <f t="shared" si="10"/>
        <v>0</v>
      </c>
      <c r="W360" s="490">
        <f t="shared" si="11"/>
        <v>0</v>
      </c>
      <c r="X360" s="490">
        <f>E$31</f>
        <v>0</v>
      </c>
      <c r="Y360" s="490" t="str">
        <f>IF(U360&gt;'JSM Eingabe+TW'!$CU$92,'JSM Eingabe+TW'!$CU$92," ")</f>
        <v xml:space="preserve"> </v>
      </c>
    </row>
    <row r="361" spans="19:25" x14ac:dyDescent="0.2">
      <c r="S361" s="489">
        <v>22</v>
      </c>
      <c r="T361" s="497">
        <v>344</v>
      </c>
      <c r="U361" s="489">
        <f>LARGE('JSM Eingabe+TW'!$DJ$32:$DU$62,S361)</f>
        <v>9.9999999999999995E-7</v>
      </c>
      <c r="V361" s="490">
        <f t="shared" si="10"/>
        <v>0</v>
      </c>
      <c r="W361" s="490">
        <f t="shared" si="11"/>
        <v>0</v>
      </c>
      <c r="Y361" s="490" t="str">
        <f>IF(U361&gt;'JSM Eingabe+TW'!$CU$92,'JSM Eingabe+TW'!$CU$92," ")</f>
        <v xml:space="preserve"> </v>
      </c>
    </row>
    <row r="362" spans="19:25" x14ac:dyDescent="0.2">
      <c r="S362" s="489">
        <v>21</v>
      </c>
      <c r="T362" s="497">
        <v>345</v>
      </c>
      <c r="U362" s="489">
        <f>LARGE('JSM Eingabe+TW'!$DJ$32:$DU$62,S362)</f>
        <v>9.9999999999999995E-7</v>
      </c>
      <c r="V362" s="490">
        <f t="shared" si="10"/>
        <v>0</v>
      </c>
      <c r="W362" s="490">
        <f t="shared" si="11"/>
        <v>0</v>
      </c>
      <c r="Y362" s="490" t="str">
        <f>IF(U362&gt;'JSM Eingabe+TW'!$CU$92,'JSM Eingabe+TW'!$CU$92," ")</f>
        <v xml:space="preserve"> </v>
      </c>
    </row>
    <row r="363" spans="19:25" x14ac:dyDescent="0.2">
      <c r="S363" s="489">
        <v>20</v>
      </c>
      <c r="T363" s="497">
        <v>346</v>
      </c>
      <c r="U363" s="489">
        <f>LARGE('JSM Eingabe+TW'!$DJ$32:$DU$62,S363)</f>
        <v>9.9999999999999995E-7</v>
      </c>
      <c r="V363" s="490">
        <f t="shared" si="10"/>
        <v>0</v>
      </c>
      <c r="W363" s="490">
        <f t="shared" si="11"/>
        <v>0</v>
      </c>
      <c r="Y363" s="490" t="str">
        <f>IF(U363&gt;'JSM Eingabe+TW'!$CU$92,'JSM Eingabe+TW'!$CU$92," ")</f>
        <v xml:space="preserve"> </v>
      </c>
    </row>
    <row r="364" spans="19:25" x14ac:dyDescent="0.2">
      <c r="S364" s="489">
        <v>19</v>
      </c>
      <c r="T364" s="497">
        <v>347</v>
      </c>
      <c r="U364" s="489">
        <f>LARGE('JSM Eingabe+TW'!$DJ$32:$DU$62,S364)</f>
        <v>9.9999999999999995E-7</v>
      </c>
      <c r="V364" s="490">
        <f t="shared" si="10"/>
        <v>0</v>
      </c>
      <c r="W364" s="490">
        <f t="shared" si="11"/>
        <v>0</v>
      </c>
      <c r="Y364" s="490" t="str">
        <f>IF(U364&gt;'JSM Eingabe+TW'!$CU$92,'JSM Eingabe+TW'!$CU$92," ")</f>
        <v xml:space="preserve"> </v>
      </c>
    </row>
    <row r="365" spans="19:25" x14ac:dyDescent="0.2">
      <c r="S365" s="489">
        <v>18</v>
      </c>
      <c r="T365" s="497">
        <v>348</v>
      </c>
      <c r="U365" s="489">
        <f>LARGE('JSM Eingabe+TW'!$DJ$32:$DU$62,S365)</f>
        <v>9.9999999999999995E-7</v>
      </c>
      <c r="V365" s="490">
        <f t="shared" si="10"/>
        <v>0</v>
      </c>
      <c r="W365" s="490">
        <f t="shared" si="11"/>
        <v>0</v>
      </c>
      <c r="X365" s="490">
        <f>E$31</f>
        <v>0</v>
      </c>
      <c r="Y365" s="490" t="str">
        <f>IF(U365&gt;'JSM Eingabe+TW'!$CU$92,'JSM Eingabe+TW'!$CU$92," ")</f>
        <v xml:space="preserve"> </v>
      </c>
    </row>
    <row r="366" spans="19:25" x14ac:dyDescent="0.2">
      <c r="S366" s="489">
        <v>17</v>
      </c>
      <c r="T366" s="497">
        <v>349</v>
      </c>
      <c r="U366" s="489">
        <f>LARGE('JSM Eingabe+TW'!$DJ$32:$DU$62,S366)</f>
        <v>9.9999999999999995E-7</v>
      </c>
      <c r="V366" s="490">
        <f t="shared" si="10"/>
        <v>0</v>
      </c>
      <c r="W366" s="490">
        <f t="shared" si="11"/>
        <v>0</v>
      </c>
      <c r="Y366" s="490" t="str">
        <f>IF(U366&gt;'JSM Eingabe+TW'!$CU$92,'JSM Eingabe+TW'!$CU$92," ")</f>
        <v xml:space="preserve"> </v>
      </c>
    </row>
    <row r="367" spans="19:25" x14ac:dyDescent="0.2">
      <c r="S367" s="489">
        <v>16</v>
      </c>
      <c r="T367" s="497">
        <v>350</v>
      </c>
      <c r="U367" s="489">
        <f>LARGE('JSM Eingabe+TW'!$DJ$32:$DU$62,S367)</f>
        <v>9.9999999999999995E-7</v>
      </c>
      <c r="V367" s="490">
        <f t="shared" si="10"/>
        <v>0</v>
      </c>
      <c r="W367" s="490">
        <f t="shared" si="11"/>
        <v>0</v>
      </c>
      <c r="Y367" s="490" t="str">
        <f>IF(U367&gt;'JSM Eingabe+TW'!$CU$92,'JSM Eingabe+TW'!$CU$92," ")</f>
        <v xml:space="preserve"> </v>
      </c>
    </row>
    <row r="368" spans="19:25" x14ac:dyDescent="0.2">
      <c r="S368" s="489">
        <v>15</v>
      </c>
      <c r="T368" s="497">
        <v>351</v>
      </c>
      <c r="U368" s="489">
        <f>LARGE('JSM Eingabe+TW'!$DJ$32:$DU$62,S368)</f>
        <v>9.9999999999999995E-7</v>
      </c>
      <c r="V368" s="490">
        <f t="shared" si="10"/>
        <v>0</v>
      </c>
      <c r="W368" s="490">
        <f t="shared" si="11"/>
        <v>0</v>
      </c>
      <c r="Y368" s="490" t="str">
        <f>IF(U368&gt;'JSM Eingabe+TW'!$CU$92,'JSM Eingabe+TW'!$CU$92," ")</f>
        <v xml:space="preserve"> </v>
      </c>
    </row>
    <row r="369" spans="19:25" x14ac:dyDescent="0.2">
      <c r="S369" s="489">
        <v>14</v>
      </c>
      <c r="T369" s="497">
        <v>352</v>
      </c>
      <c r="U369" s="489">
        <f>LARGE('JSM Eingabe+TW'!$DJ$32:$DU$62,S369)</f>
        <v>9.9999999999999995E-7</v>
      </c>
      <c r="V369" s="490">
        <f t="shared" si="10"/>
        <v>0</v>
      </c>
      <c r="W369" s="490">
        <f t="shared" si="11"/>
        <v>0</v>
      </c>
      <c r="Y369" s="490" t="str">
        <f>IF(U369&gt;'JSM Eingabe+TW'!$CU$92,'JSM Eingabe+TW'!$CU$92," ")</f>
        <v xml:space="preserve"> </v>
      </c>
    </row>
    <row r="370" spans="19:25" x14ac:dyDescent="0.2">
      <c r="S370" s="489">
        <v>13</v>
      </c>
      <c r="T370" s="497">
        <v>353</v>
      </c>
      <c r="U370" s="489">
        <f>LARGE('JSM Eingabe+TW'!$DJ$32:$DU$62,S370)</f>
        <v>9.9999999999999995E-7</v>
      </c>
      <c r="V370" s="490">
        <f t="shared" si="10"/>
        <v>0</v>
      </c>
      <c r="W370" s="490">
        <f t="shared" si="11"/>
        <v>0</v>
      </c>
      <c r="X370" s="490">
        <f>E$31</f>
        <v>0</v>
      </c>
      <c r="Y370" s="490" t="str">
        <f>IF(U370&gt;'JSM Eingabe+TW'!$CU$92,'JSM Eingabe+TW'!$CU$92," ")</f>
        <v xml:space="preserve"> </v>
      </c>
    </row>
    <row r="371" spans="19:25" x14ac:dyDescent="0.2">
      <c r="S371" s="489">
        <v>12</v>
      </c>
      <c r="T371" s="497">
        <v>354</v>
      </c>
      <c r="U371" s="489">
        <f>LARGE('JSM Eingabe+TW'!$DJ$32:$DU$62,S371)</f>
        <v>9.9999999999999995E-7</v>
      </c>
      <c r="V371" s="490">
        <f t="shared" si="10"/>
        <v>0</v>
      </c>
      <c r="W371" s="490">
        <f t="shared" si="11"/>
        <v>0</v>
      </c>
      <c r="Y371" s="490" t="str">
        <f>IF(U371&gt;'JSM Eingabe+TW'!$CU$92,'JSM Eingabe+TW'!$CU$92," ")</f>
        <v xml:space="preserve"> </v>
      </c>
    </row>
    <row r="372" spans="19:25" x14ac:dyDescent="0.2">
      <c r="S372" s="489">
        <v>11</v>
      </c>
      <c r="T372" s="497">
        <v>355</v>
      </c>
      <c r="U372" s="489">
        <f>LARGE('JSM Eingabe+TW'!$DJ$32:$DU$62,S372)</f>
        <v>9.9999999999999995E-7</v>
      </c>
      <c r="V372" s="490">
        <f t="shared" si="10"/>
        <v>0</v>
      </c>
      <c r="W372" s="490">
        <f t="shared" si="11"/>
        <v>0</v>
      </c>
      <c r="Y372" s="490" t="str">
        <f>IF(U372&gt;'JSM Eingabe+TW'!$CU$92,'JSM Eingabe+TW'!$CU$92," ")</f>
        <v xml:space="preserve"> </v>
      </c>
    </row>
    <row r="373" spans="19:25" x14ac:dyDescent="0.2">
      <c r="S373" s="489">
        <v>10</v>
      </c>
      <c r="T373" s="497">
        <v>356</v>
      </c>
      <c r="U373" s="489">
        <f>LARGE('JSM Eingabe+TW'!$DJ$32:$DU$62,S373)</f>
        <v>9.9999999999999995E-7</v>
      </c>
      <c r="V373" s="490">
        <f t="shared" si="10"/>
        <v>0</v>
      </c>
      <c r="W373" s="490">
        <f t="shared" si="11"/>
        <v>0</v>
      </c>
      <c r="Y373" s="490" t="str">
        <f>IF(U373&gt;'JSM Eingabe+TW'!$CU$92,'JSM Eingabe+TW'!$CU$92," ")</f>
        <v xml:space="preserve"> </v>
      </c>
    </row>
    <row r="374" spans="19:25" x14ac:dyDescent="0.2">
      <c r="S374" s="489">
        <v>9</v>
      </c>
      <c r="T374" s="497">
        <v>357</v>
      </c>
      <c r="U374" s="489">
        <f>LARGE('JSM Eingabe+TW'!$DJ$32:$DU$62,S374)</f>
        <v>9.9999999999999995E-7</v>
      </c>
      <c r="V374" s="490">
        <f t="shared" si="10"/>
        <v>0</v>
      </c>
      <c r="W374" s="490">
        <f t="shared" si="11"/>
        <v>0</v>
      </c>
      <c r="Y374" s="490" t="str">
        <f>IF(U374&gt;'JSM Eingabe+TW'!$CU$92,'JSM Eingabe+TW'!$CU$92," ")</f>
        <v xml:space="preserve"> </v>
      </c>
    </row>
    <row r="375" spans="19:25" x14ac:dyDescent="0.2">
      <c r="S375" s="489">
        <v>8</v>
      </c>
      <c r="T375" s="497">
        <v>358</v>
      </c>
      <c r="U375" s="489">
        <f>LARGE('JSM Eingabe+TW'!$DJ$32:$DU$62,S375)</f>
        <v>9.9999999999999995E-7</v>
      </c>
      <c r="V375" s="490">
        <f t="shared" si="10"/>
        <v>0</v>
      </c>
      <c r="W375" s="490">
        <f t="shared" si="11"/>
        <v>0</v>
      </c>
      <c r="X375" s="490">
        <f>E$31</f>
        <v>0</v>
      </c>
      <c r="Y375" s="490" t="str">
        <f>IF(U375&gt;'JSM Eingabe+TW'!$CU$92,'JSM Eingabe+TW'!$CU$92," ")</f>
        <v xml:space="preserve"> </v>
      </c>
    </row>
    <row r="376" spans="19:25" x14ac:dyDescent="0.2">
      <c r="S376" s="489">
        <v>7</v>
      </c>
      <c r="T376" s="497">
        <v>359</v>
      </c>
      <c r="U376" s="489">
        <f>LARGE('JSM Eingabe+TW'!$DJ$32:$DU$62,S376)</f>
        <v>9.9999999999999995E-7</v>
      </c>
      <c r="V376" s="490">
        <f t="shared" si="10"/>
        <v>0</v>
      </c>
      <c r="W376" s="490">
        <f t="shared" si="11"/>
        <v>0</v>
      </c>
      <c r="Y376" s="490" t="str">
        <f>IF(U376&gt;'JSM Eingabe+TW'!$CU$92,'JSM Eingabe+TW'!$CU$92," ")</f>
        <v xml:space="preserve"> </v>
      </c>
    </row>
    <row r="377" spans="19:25" x14ac:dyDescent="0.2">
      <c r="S377" s="489">
        <v>6</v>
      </c>
      <c r="T377" s="497">
        <v>360</v>
      </c>
      <c r="U377" s="489">
        <f>LARGE('JSM Eingabe+TW'!$DJ$32:$DU$62,S377)</f>
        <v>9.9999999999999995E-7</v>
      </c>
      <c r="V377" s="490">
        <f t="shared" si="10"/>
        <v>0</v>
      </c>
      <c r="W377" s="490">
        <f t="shared" si="11"/>
        <v>0</v>
      </c>
      <c r="Y377" s="490" t="str">
        <f>IF(U377&gt;'JSM Eingabe+TW'!$CU$92,'JSM Eingabe+TW'!$CU$92," ")</f>
        <v xml:space="preserve"> </v>
      </c>
    </row>
    <row r="378" spans="19:25" x14ac:dyDescent="0.2">
      <c r="S378" s="489">
        <v>5</v>
      </c>
      <c r="T378" s="497">
        <v>361</v>
      </c>
      <c r="U378" s="489">
        <f>LARGE('JSM Eingabe+TW'!$DJ$32:$DU$62,S378)</f>
        <v>9.9999999999999995E-7</v>
      </c>
      <c r="V378" s="490">
        <f t="shared" si="10"/>
        <v>0</v>
      </c>
      <c r="W378" s="490">
        <f t="shared" si="11"/>
        <v>0</v>
      </c>
      <c r="Y378" s="490" t="str">
        <f>IF(U378&gt;'JSM Eingabe+TW'!$CU$92,'JSM Eingabe+TW'!$CU$92," ")</f>
        <v xml:space="preserve"> </v>
      </c>
    </row>
    <row r="379" spans="19:25" x14ac:dyDescent="0.2">
      <c r="S379" s="489">
        <v>4</v>
      </c>
      <c r="T379" s="497">
        <v>362</v>
      </c>
      <c r="U379" s="489">
        <f>LARGE('JSM Eingabe+TW'!$DJ$32:$DU$62,S379)</f>
        <v>9.9999999999999995E-7</v>
      </c>
      <c r="V379" s="490">
        <f t="shared" si="10"/>
        <v>0</v>
      </c>
      <c r="W379" s="490">
        <f t="shared" si="11"/>
        <v>0</v>
      </c>
      <c r="Y379" s="490" t="str">
        <f>IF(U379&gt;'JSM Eingabe+TW'!$CU$92,'JSM Eingabe+TW'!$CU$92," ")</f>
        <v xml:space="preserve"> </v>
      </c>
    </row>
    <row r="380" spans="19:25" x14ac:dyDescent="0.2">
      <c r="S380" s="489">
        <v>3</v>
      </c>
      <c r="T380" s="497">
        <v>363</v>
      </c>
      <c r="U380" s="489">
        <f>LARGE('JSM Eingabe+TW'!$DJ$32:$DU$62,S380)</f>
        <v>9.9999999999999995E-7</v>
      </c>
      <c r="V380" s="490">
        <f t="shared" si="10"/>
        <v>0</v>
      </c>
      <c r="W380" s="490">
        <f t="shared" si="11"/>
        <v>0</v>
      </c>
      <c r="X380" s="490">
        <f>E$31</f>
        <v>0</v>
      </c>
      <c r="Y380" s="490" t="str">
        <f>IF(U380&gt;'JSM Eingabe+TW'!$CU$92,'JSM Eingabe+TW'!$CU$92," ")</f>
        <v xml:space="preserve"> </v>
      </c>
    </row>
    <row r="381" spans="19:25" x14ac:dyDescent="0.2">
      <c r="S381" s="489">
        <v>2</v>
      </c>
      <c r="T381" s="497">
        <v>364</v>
      </c>
      <c r="U381" s="489">
        <f>LARGE('JSM Eingabe+TW'!$DJ$32:$DU$62,S381)</f>
        <v>9.9999999999999995E-7</v>
      </c>
      <c r="V381" s="490">
        <f t="shared" si="10"/>
        <v>0</v>
      </c>
      <c r="W381" s="490">
        <f t="shared" si="11"/>
        <v>0</v>
      </c>
      <c r="Y381" s="490" t="str">
        <f>IF(U381&gt;'JSM Eingabe+TW'!$CU$92,'JSM Eingabe+TW'!$CU$92," ")</f>
        <v xml:space="preserve"> </v>
      </c>
    </row>
    <row r="382" spans="19:25" x14ac:dyDescent="0.2">
      <c r="S382" s="489">
        <v>1</v>
      </c>
      <c r="T382" s="497">
        <v>365</v>
      </c>
      <c r="U382" s="489">
        <f>LARGE('JSM Eingabe+TW'!$DJ$32:$DU$62,S382)</f>
        <v>9.9999999999999995E-7</v>
      </c>
      <c r="V382" s="490">
        <f t="shared" si="10"/>
        <v>0</v>
      </c>
      <c r="W382" s="490">
        <f t="shared" si="11"/>
        <v>0</v>
      </c>
      <c r="Y382" s="490" t="str">
        <f>IF(U382&gt;'JSM Eingabe+TW'!$CU$92,'JSM Eingabe+TW'!$CU$92," ")</f>
        <v xml:space="preserve"> </v>
      </c>
    </row>
    <row r="385" spans="21:21" x14ac:dyDescent="0.2">
      <c r="U385" s="498">
        <f>SUM(U20:U382)</f>
        <v>3.6300000000000232E-4</v>
      </c>
    </row>
  </sheetData>
  <sheetProtection algorithmName="SHA-512" hashValue="8p5vzk2htttGyri+hmD0/HEURsMOr+isPT99x1hKBgK0ED8aOuo4THglxnjuNDKXQaExYzfLEWMO74/VDudtzQ==" saltValue="17bEFYCRKF+E1XI3oaW2FQ==" spinCount="100000" sheet="1" objects="1" scenarios="1"/>
  <mergeCells count="15">
    <mergeCell ref="N34:P34"/>
    <mergeCell ref="B26:D26"/>
    <mergeCell ref="B31:D31"/>
    <mergeCell ref="B30:D30"/>
    <mergeCell ref="B20:D20"/>
    <mergeCell ref="B29:D29"/>
    <mergeCell ref="E12:F14"/>
    <mergeCell ref="D12:D14"/>
    <mergeCell ref="B25:D25"/>
    <mergeCell ref="B28:D28"/>
    <mergeCell ref="C23:D23"/>
    <mergeCell ref="B21:D21"/>
    <mergeCell ref="B22:D22"/>
    <mergeCell ref="B18:D18"/>
    <mergeCell ref="B17:D17"/>
  </mergeCells>
  <phoneticPr fontId="0" type="noConversion"/>
  <printOptions horizontalCentered="1" verticalCentered="1"/>
  <pageMargins left="0.78740157480314965" right="0.78740157480314965" top="1.1200000000000001" bottom="1.01" header="0.51181102362204722" footer="0.51181102362204722"/>
  <pageSetup paperSize="9" scale="74" orientation="landscape" r:id="rId1"/>
  <headerFooter alignWithMargins="0">
    <oddHeader xml:space="preserve">&amp;L
</oddHeader>
    <oddFooter>&amp;L&amp;F&amp;C&amp;A&amp;R&amp;D</oddFooter>
  </headerFooter>
  <ignoredErrors>
    <ignoredError sqref="E26:F26"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AE385"/>
  <sheetViews>
    <sheetView showGridLines="0" zoomScale="70" zoomScaleNormal="70" workbookViewId="0"/>
  </sheetViews>
  <sheetFormatPr baseColWidth="10" defaultRowHeight="12.75" x14ac:dyDescent="0.2"/>
  <cols>
    <col min="1" max="1" width="1.7109375" style="669" customWidth="1"/>
    <col min="2" max="2" width="19.140625" style="669" customWidth="1"/>
    <col min="3" max="3" width="9.140625" style="669" customWidth="1"/>
    <col min="4" max="4" width="11.5703125" style="669" customWidth="1"/>
    <col min="5" max="5" width="13" style="669" customWidth="1"/>
    <col min="6" max="6" width="5.140625" style="669" customWidth="1"/>
    <col min="7" max="7" width="17.42578125" style="669" customWidth="1"/>
    <col min="8" max="8" width="2" style="669" customWidth="1"/>
    <col min="9" max="9" width="16.5703125" style="706" customWidth="1"/>
    <col min="10" max="10" width="16" style="706" customWidth="1"/>
    <col min="11" max="11" width="7.5703125" style="669" customWidth="1"/>
    <col min="12" max="12" width="11.5703125" style="669" customWidth="1"/>
    <col min="13" max="13" width="11.42578125" style="669" customWidth="1"/>
    <col min="14" max="14" width="18.28515625" style="669" customWidth="1"/>
    <col min="15" max="15" width="9.28515625" style="669" customWidth="1"/>
    <col min="16" max="16" width="17.85546875" style="669" customWidth="1"/>
    <col min="17" max="17" width="12.5703125" style="669" customWidth="1"/>
    <col min="18" max="18" width="1.5703125" style="669" customWidth="1"/>
    <col min="19" max="19" width="4.140625" style="692" customWidth="1"/>
    <col min="20" max="20" width="7.7109375" style="693" customWidth="1"/>
    <col min="21" max="21" width="10.140625" style="692" customWidth="1"/>
    <col min="22" max="22" width="7.85546875" style="622" customWidth="1"/>
    <col min="23" max="23" width="8.85546875" style="622" customWidth="1"/>
    <col min="24" max="31" width="11.42578125" style="622"/>
    <col min="32" max="16384" width="11.42578125" style="690"/>
  </cols>
  <sheetData>
    <row r="1" spans="2:27" ht="15.75" customHeight="1" x14ac:dyDescent="0.2"/>
    <row r="2" spans="2:27" ht="20.25" x14ac:dyDescent="0.3">
      <c r="B2" s="707" t="str">
        <f>'JSM Eingabe+TW'!B2</f>
        <v>Ergebnisse der Selbstüberwachung</v>
      </c>
      <c r="C2" s="623"/>
      <c r="D2" s="623"/>
      <c r="E2" s="623"/>
      <c r="F2" s="623"/>
      <c r="G2" s="623"/>
      <c r="H2" s="623"/>
      <c r="I2" s="623"/>
      <c r="J2" s="623"/>
      <c r="K2" s="623"/>
      <c r="L2" s="623"/>
      <c r="M2" s="623"/>
      <c r="N2" s="623"/>
      <c r="O2" s="623"/>
      <c r="P2" s="624" t="s">
        <v>227</v>
      </c>
      <c r="Q2" s="818" t="str">
        <f>IF(LEN('JSM Eingabe+TW'!AB7)&gt;0,'JSM Eingabe+TW'!AB7,"")</f>
        <v/>
      </c>
      <c r="R2" s="316"/>
      <c r="S2" s="694"/>
      <c r="T2" s="695"/>
    </row>
    <row r="3" spans="2:27" ht="11.25" customHeight="1" x14ac:dyDescent="0.25">
      <c r="B3" s="623"/>
      <c r="C3" s="623"/>
      <c r="D3" s="623"/>
      <c r="E3" s="623"/>
      <c r="F3" s="623"/>
      <c r="G3" s="623"/>
      <c r="H3" s="623"/>
      <c r="I3" s="623"/>
      <c r="J3" s="623"/>
      <c r="K3" s="623"/>
      <c r="L3" s="623"/>
      <c r="M3" s="623"/>
      <c r="N3" s="623"/>
      <c r="O3" s="623"/>
      <c r="P3" s="623"/>
      <c r="Q3" s="625"/>
      <c r="R3" s="294"/>
      <c r="S3" s="694"/>
      <c r="T3" s="695"/>
    </row>
    <row r="4" spans="2:27" ht="8.25" customHeight="1" x14ac:dyDescent="0.25">
      <c r="B4" s="623"/>
      <c r="C4" s="623"/>
      <c r="D4" s="623"/>
      <c r="E4" s="623"/>
      <c r="F4" s="623"/>
      <c r="G4" s="623"/>
      <c r="H4" s="623"/>
      <c r="I4" s="623"/>
      <c r="J4" s="623"/>
      <c r="K4" s="623"/>
      <c r="L4" s="623"/>
      <c r="M4" s="623"/>
      <c r="N4" s="623"/>
      <c r="O4" s="623"/>
      <c r="P4" s="623"/>
      <c r="Q4" s="625"/>
      <c r="R4" s="625"/>
      <c r="S4" s="694"/>
      <c r="T4" s="695"/>
    </row>
    <row r="5" spans="2:27" ht="20.25" x14ac:dyDescent="0.3">
      <c r="B5" s="708" t="str">
        <f>'JSM Eingabe+TW'!B5</f>
        <v>Ermittlung der Jahresschmutzwassermenge (JSM) und des Fremdwassers (QF)</v>
      </c>
      <c r="C5" s="709"/>
      <c r="D5" s="626"/>
      <c r="E5" s="626"/>
      <c r="F5" s="710"/>
      <c r="G5" s="710"/>
      <c r="H5" s="710"/>
      <c r="I5" s="710"/>
      <c r="J5" s="710"/>
      <c r="K5" s="710"/>
      <c r="L5" s="710"/>
      <c r="M5" s="710"/>
      <c r="N5" s="710"/>
      <c r="O5" s="710"/>
      <c r="P5" s="710"/>
      <c r="Q5" s="627" t="s">
        <v>239</v>
      </c>
      <c r="S5" s="696"/>
      <c r="T5" s="695"/>
    </row>
    <row r="6" spans="2:27" ht="5.25" customHeight="1" x14ac:dyDescent="0.2">
      <c r="B6" s="711"/>
      <c r="C6" s="712"/>
      <c r="D6" s="314"/>
      <c r="E6" s="314"/>
      <c r="F6" s="713"/>
      <c r="G6" s="713"/>
      <c r="H6" s="713"/>
      <c r="I6" s="713"/>
      <c r="J6" s="713"/>
      <c r="K6" s="713"/>
      <c r="L6" s="713"/>
      <c r="M6" s="713"/>
      <c r="N6" s="713"/>
      <c r="O6" s="713"/>
      <c r="P6" s="713"/>
      <c r="Q6" s="714"/>
      <c r="R6" s="714"/>
      <c r="S6" s="697"/>
      <c r="T6" s="697"/>
    </row>
    <row r="7" spans="2:27" ht="24" customHeight="1" x14ac:dyDescent="0.2">
      <c r="B7" s="628" t="s">
        <v>228</v>
      </c>
      <c r="C7" s="629" t="str">
        <f>IF(LEN('JSM Eingabe+TW'!D7)&gt;0,'JSM Eingabe+TW'!D7,"")</f>
        <v>Mainz</v>
      </c>
      <c r="D7" s="629"/>
      <c r="E7" s="629"/>
      <c r="F7" s="629"/>
      <c r="G7" s="689"/>
      <c r="H7" s="630" t="s">
        <v>243</v>
      </c>
      <c r="I7" s="629" t="str">
        <f>IF(LEN('JSM Eingabe+TW'!M7)&gt;0,'JSM Eingabe+TW'!M7,"")</f>
        <v/>
      </c>
      <c r="K7" s="629"/>
      <c r="L7" s="629"/>
      <c r="M7" s="629"/>
      <c r="N7" s="629"/>
      <c r="O7" s="629"/>
      <c r="P7" s="629"/>
      <c r="Q7" s="715" t="str">
        <f>'JSM Eingabe+TW'!AB2</f>
        <v>Programmversion 7.3.9</v>
      </c>
      <c r="S7" s="698"/>
      <c r="T7" s="698"/>
    </row>
    <row r="8" spans="2:27" ht="4.5" customHeight="1" thickBot="1" x14ac:dyDescent="0.25">
      <c r="B8" s="716"/>
      <c r="C8" s="713"/>
      <c r="D8" s="295"/>
      <c r="E8" s="295"/>
      <c r="F8" s="295"/>
      <c r="G8" s="295"/>
      <c r="H8" s="295"/>
      <c r="I8" s="295"/>
      <c r="J8" s="295"/>
      <c r="K8" s="706"/>
      <c r="L8" s="706"/>
      <c r="M8" s="706"/>
      <c r="N8" s="706"/>
      <c r="O8" s="706"/>
      <c r="P8" s="706"/>
      <c r="Q8" s="714"/>
      <c r="R8" s="714"/>
      <c r="S8" s="699"/>
      <c r="T8" s="699"/>
    </row>
    <row r="9" spans="2:27" ht="21" customHeight="1" thickBot="1" x14ac:dyDescent="0.3">
      <c r="B9" s="631" t="s">
        <v>308</v>
      </c>
      <c r="C9" s="632"/>
      <c r="D9" s="632"/>
      <c r="E9" s="632"/>
      <c r="F9" s="633"/>
      <c r="G9" s="632"/>
      <c r="H9" s="632"/>
      <c r="I9" s="632"/>
      <c r="J9" s="632"/>
      <c r="K9" s="632"/>
      <c r="L9" s="632"/>
      <c r="M9" s="632"/>
      <c r="N9" s="632"/>
      <c r="O9" s="632"/>
      <c r="P9" s="632"/>
      <c r="Q9" s="717"/>
      <c r="S9" s="700"/>
      <c r="T9" s="700"/>
    </row>
    <row r="10" spans="2:27" ht="6" customHeight="1" x14ac:dyDescent="0.25">
      <c r="E10" s="634"/>
      <c r="F10" s="246"/>
      <c r="H10" s="688"/>
    </row>
    <row r="11" spans="2:27" ht="27" customHeight="1" x14ac:dyDescent="0.2">
      <c r="B11" s="718"/>
      <c r="G11" s="688"/>
      <c r="H11" s="719"/>
      <c r="S11" s="693"/>
      <c r="U11" s="693"/>
    </row>
    <row r="12" spans="2:27" ht="12.75" customHeight="1" x14ac:dyDescent="0.2">
      <c r="C12" s="720"/>
      <c r="D12" s="875" t="s">
        <v>282</v>
      </c>
      <c r="E12" s="876" t="s">
        <v>207</v>
      </c>
      <c r="F12" s="876"/>
      <c r="M12" s="721"/>
      <c r="O12" s="722"/>
      <c r="P12" s="722"/>
      <c r="S12" s="693"/>
      <c r="U12" s="693"/>
      <c r="W12" s="622">
        <f>E30*2</f>
        <v>0</v>
      </c>
    </row>
    <row r="13" spans="2:27" ht="15.75" customHeight="1" x14ac:dyDescent="0.2">
      <c r="B13" s="720"/>
      <c r="C13" s="720"/>
      <c r="D13" s="875"/>
      <c r="E13" s="876"/>
      <c r="F13" s="876"/>
      <c r="M13" s="721"/>
      <c r="O13" s="722"/>
      <c r="P13" s="722"/>
      <c r="S13" s="693"/>
      <c r="U13" s="693"/>
      <c r="V13" s="701">
        <f>ROUND(E30,0)</f>
        <v>0</v>
      </c>
      <c r="W13" s="622">
        <f>ROUND(W12,0)</f>
        <v>0</v>
      </c>
      <c r="AA13" s="622">
        <f>COUNTIF(AA18:AA382,"&gt;1")</f>
        <v>0</v>
      </c>
    </row>
    <row r="14" spans="2:27" ht="18" customHeight="1" x14ac:dyDescent="0.2">
      <c r="B14" s="720"/>
      <c r="C14" s="720"/>
      <c r="D14" s="875"/>
      <c r="E14" s="876"/>
      <c r="F14" s="876"/>
      <c r="M14" s="721"/>
      <c r="O14" s="722"/>
      <c r="P14" s="722"/>
      <c r="S14" s="702"/>
    </row>
    <row r="15" spans="2:27" ht="15.75" customHeight="1" x14ac:dyDescent="0.2">
      <c r="O15" s="706"/>
      <c r="U15" s="622">
        <f>SUMIF(W18:W382,W15,U18:U382)</f>
        <v>3.6500000000000237E-4</v>
      </c>
      <c r="W15" s="622">
        <f>SUM(W18:W382)</f>
        <v>0</v>
      </c>
      <c r="Y15" s="622">
        <f>SUM(Y18:Y382)</f>
        <v>6.6795000000000437E-2</v>
      </c>
    </row>
    <row r="16" spans="2:27" ht="9.75" customHeight="1" x14ac:dyDescent="0.2">
      <c r="L16" s="195"/>
    </row>
    <row r="17" spans="2:28" ht="16.5" customHeight="1" x14ac:dyDescent="0.2">
      <c r="B17" s="877" t="s">
        <v>234</v>
      </c>
      <c r="C17" s="877"/>
      <c r="D17" s="877"/>
      <c r="U17" s="692" t="s">
        <v>311</v>
      </c>
      <c r="V17" s="622" t="s">
        <v>312</v>
      </c>
      <c r="W17" s="622" t="s">
        <v>310</v>
      </c>
      <c r="X17" s="636" t="s">
        <v>309</v>
      </c>
      <c r="Y17" s="622" t="s">
        <v>197</v>
      </c>
      <c r="Z17" s="622" t="s">
        <v>313</v>
      </c>
    </row>
    <row r="18" spans="2:28" x14ac:dyDescent="0.2">
      <c r="B18" s="874" t="s">
        <v>235</v>
      </c>
      <c r="C18" s="874"/>
      <c r="D18" s="874"/>
      <c r="E18" s="723" t="str">
        <f>'JSM Eingabe+TW'!I102</f>
        <v/>
      </c>
      <c r="F18" s="722" t="s">
        <v>213</v>
      </c>
      <c r="S18" s="692">
        <v>365</v>
      </c>
      <c r="T18" s="703">
        <v>1</v>
      </c>
      <c r="U18" s="692">
        <f>LARGE('JSM Eingabe+TW'!$DJ$32:$DU$62,S18)</f>
        <v>9.9999999999999995E-7</v>
      </c>
      <c r="V18" s="622">
        <f t="shared" ref="V18:V81" si="0">IF(T18=V$13,LARGE(U$18:U$382,1),0)</f>
        <v>0</v>
      </c>
      <c r="W18" s="622">
        <f t="shared" ref="W18:W81" si="1">IF(T18=W$13,LARGE(U$18:U$382,1),0)</f>
        <v>0</v>
      </c>
      <c r="X18" s="635">
        <f t="shared" ref="X18:X81" si="2">P$35</f>
        <v>1.830000000000012E-4</v>
      </c>
      <c r="Y18" s="622">
        <f t="shared" ref="Y18:Y81" si="3">IF(T18&lt;=$W$13,U18,((U$15-P$34)/(365-W$13)*AB18)+P$34)</f>
        <v>3.6500000000000237E-4</v>
      </c>
      <c r="AA18" s="622" t="str">
        <f>IF(U18&gt;'JSM Eingabe+TW'!$CU$92,'JSM Eingabe+TW'!$CU$92," ")</f>
        <v xml:space="preserve"> </v>
      </c>
      <c r="AB18" s="622">
        <f>IF(T18&lt;=W$13,0,S18)</f>
        <v>365</v>
      </c>
    </row>
    <row r="19" spans="2:28" x14ac:dyDescent="0.2">
      <c r="D19" s="724" t="s">
        <v>36</v>
      </c>
      <c r="E19" s="723" t="str">
        <f>'JSM Eingabe+TW'!M102</f>
        <v/>
      </c>
      <c r="F19" s="722" t="s">
        <v>213</v>
      </c>
      <c r="S19" s="692">
        <v>364</v>
      </c>
      <c r="T19" s="703">
        <v>2</v>
      </c>
      <c r="U19" s="692">
        <f>LARGE('JSM Eingabe+TW'!$DJ$32:$DU$62,S19)</f>
        <v>9.9999999999999995E-7</v>
      </c>
      <c r="V19" s="622">
        <f t="shared" si="0"/>
        <v>0</v>
      </c>
      <c r="W19" s="622">
        <f t="shared" si="1"/>
        <v>0</v>
      </c>
      <c r="X19" s="635">
        <f t="shared" si="2"/>
        <v>1.830000000000012E-4</v>
      </c>
      <c r="Y19" s="622">
        <f t="shared" si="3"/>
        <v>3.640000000000024E-4</v>
      </c>
      <c r="Z19" s="622">
        <f>P$34</f>
        <v>0</v>
      </c>
      <c r="AA19" s="622" t="str">
        <f>IF(U19&gt;'JSM Eingabe+TW'!$CU$92,'JSM Eingabe+TW'!$CU$92," ")</f>
        <v xml:space="preserve"> </v>
      </c>
      <c r="AB19" s="622">
        <f t="shared" ref="AB19:AB82" si="4">IF(T19&lt;=W$13,0,S19)</f>
        <v>364</v>
      </c>
    </row>
    <row r="20" spans="2:28" x14ac:dyDescent="0.2">
      <c r="B20" s="874" t="s">
        <v>236</v>
      </c>
      <c r="C20" s="874"/>
      <c r="D20" s="874"/>
      <c r="E20" s="723" t="str">
        <f>'JSM Eingabe+TW'!Q102</f>
        <v/>
      </c>
      <c r="F20" s="722" t="s">
        <v>213</v>
      </c>
      <c r="S20" s="692">
        <v>363</v>
      </c>
      <c r="T20" s="703">
        <v>3</v>
      </c>
      <c r="U20" s="692">
        <f>LARGE('JSM Eingabe+TW'!$DJ$32:$DU$62,S20)</f>
        <v>9.9999999999999995E-7</v>
      </c>
      <c r="V20" s="622">
        <f t="shared" si="0"/>
        <v>0</v>
      </c>
      <c r="W20" s="622">
        <f t="shared" si="1"/>
        <v>0</v>
      </c>
      <c r="X20" s="635">
        <f t="shared" si="2"/>
        <v>1.830000000000012E-4</v>
      </c>
      <c r="Y20" s="622">
        <f t="shared" si="3"/>
        <v>3.6300000000000237E-4</v>
      </c>
      <c r="AA20" s="622" t="str">
        <f>IF(U20&gt;'JSM Eingabe+TW'!$CU$92,'JSM Eingabe+TW'!$CU$92," ")</f>
        <v xml:space="preserve"> </v>
      </c>
      <c r="AB20" s="622">
        <f t="shared" si="4"/>
        <v>363</v>
      </c>
    </row>
    <row r="21" spans="2:28" ht="12.75" customHeight="1" x14ac:dyDescent="0.2">
      <c r="B21" s="878" t="s">
        <v>246</v>
      </c>
      <c r="C21" s="878"/>
      <c r="D21" s="878"/>
      <c r="E21" s="723" t="str">
        <f>'JSM Eingabe+TW'!I103</f>
        <v/>
      </c>
      <c r="F21" s="722" t="s">
        <v>213</v>
      </c>
      <c r="S21" s="692">
        <v>362</v>
      </c>
      <c r="T21" s="703">
        <v>4</v>
      </c>
      <c r="U21" s="692">
        <f>LARGE('JSM Eingabe+TW'!$DJ$32:$DU$62,S21)</f>
        <v>9.9999999999999995E-7</v>
      </c>
      <c r="V21" s="622">
        <f t="shared" si="0"/>
        <v>0</v>
      </c>
      <c r="W21" s="622">
        <f t="shared" si="1"/>
        <v>0</v>
      </c>
      <c r="X21" s="635">
        <f t="shared" si="2"/>
        <v>1.830000000000012E-4</v>
      </c>
      <c r="Y21" s="622">
        <f t="shared" si="3"/>
        <v>3.6200000000000235E-4</v>
      </c>
      <c r="AA21" s="622" t="str">
        <f>IF(U21&gt;'JSM Eingabe+TW'!$CU$92,'JSM Eingabe+TW'!$CU$92," ")</f>
        <v xml:space="preserve"> </v>
      </c>
      <c r="AB21" s="622">
        <f t="shared" si="4"/>
        <v>362</v>
      </c>
    </row>
    <row r="22" spans="2:28" x14ac:dyDescent="0.2">
      <c r="B22" s="874" t="s">
        <v>215</v>
      </c>
      <c r="C22" s="874"/>
      <c r="D22" s="874"/>
      <c r="E22" s="723" t="str">
        <f>'JSM Eingabe+TW'!M103</f>
        <v/>
      </c>
      <c r="F22" s="722" t="s">
        <v>213</v>
      </c>
      <c r="S22" s="692">
        <v>361</v>
      </c>
      <c r="T22" s="703">
        <v>5</v>
      </c>
      <c r="U22" s="692">
        <f>LARGE('JSM Eingabe+TW'!$DJ$32:$DU$62,S22)</f>
        <v>9.9999999999999995E-7</v>
      </c>
      <c r="V22" s="622">
        <f t="shared" si="0"/>
        <v>0</v>
      </c>
      <c r="W22" s="622">
        <f t="shared" si="1"/>
        <v>0</v>
      </c>
      <c r="X22" s="635">
        <f t="shared" si="2"/>
        <v>1.830000000000012E-4</v>
      </c>
      <c r="Y22" s="622">
        <f t="shared" si="3"/>
        <v>3.6100000000000238E-4</v>
      </c>
      <c r="AA22" s="622" t="str">
        <f>IF(U22&gt;'JSM Eingabe+TW'!$CU$92,'JSM Eingabe+TW'!$CU$92," ")</f>
        <v xml:space="preserve"> </v>
      </c>
      <c r="AB22" s="622">
        <f t="shared" si="4"/>
        <v>361</v>
      </c>
    </row>
    <row r="23" spans="2:28" ht="12.75" customHeight="1" x14ac:dyDescent="0.2">
      <c r="C23" s="878" t="s">
        <v>133</v>
      </c>
      <c r="D23" s="878"/>
      <c r="E23" s="723">
        <f>'JSM Eingabe+TW'!Q103</f>
        <v>9.9999999999999995E-7</v>
      </c>
      <c r="F23" s="722" t="s">
        <v>213</v>
      </c>
      <c r="S23" s="692">
        <v>360</v>
      </c>
      <c r="T23" s="703">
        <v>6</v>
      </c>
      <c r="U23" s="692">
        <f>LARGE('JSM Eingabe+TW'!$DJ$32:$DU$62,S23)</f>
        <v>9.9999999999999995E-7</v>
      </c>
      <c r="V23" s="622">
        <f t="shared" si="0"/>
        <v>0</v>
      </c>
      <c r="W23" s="622">
        <f t="shared" si="1"/>
        <v>0</v>
      </c>
      <c r="X23" s="635">
        <f t="shared" si="2"/>
        <v>1.830000000000012E-4</v>
      </c>
      <c r="Y23" s="622">
        <f t="shared" si="3"/>
        <v>3.6000000000000235E-4</v>
      </c>
      <c r="AA23" s="622" t="str">
        <f>IF(U23&gt;'JSM Eingabe+TW'!$CU$92,'JSM Eingabe+TW'!$CU$92," ")</f>
        <v xml:space="preserve"> </v>
      </c>
      <c r="AB23" s="622">
        <f t="shared" si="4"/>
        <v>360</v>
      </c>
    </row>
    <row r="24" spans="2:28" ht="15" customHeight="1" x14ac:dyDescent="0.2">
      <c r="S24" s="692">
        <v>359</v>
      </c>
      <c r="T24" s="703">
        <v>7</v>
      </c>
      <c r="U24" s="692">
        <f>LARGE('JSM Eingabe+TW'!$DJ$32:$DU$62,S24)</f>
        <v>9.9999999999999995E-7</v>
      </c>
      <c r="V24" s="622">
        <f t="shared" si="0"/>
        <v>0</v>
      </c>
      <c r="W24" s="622">
        <f t="shared" si="1"/>
        <v>0</v>
      </c>
      <c r="X24" s="635">
        <f t="shared" si="2"/>
        <v>1.830000000000012E-4</v>
      </c>
      <c r="Y24" s="622">
        <f t="shared" si="3"/>
        <v>3.5900000000000233E-4</v>
      </c>
      <c r="Z24" s="622">
        <f>P$34</f>
        <v>0</v>
      </c>
      <c r="AA24" s="622" t="str">
        <f>IF(U24&gt;'JSM Eingabe+TW'!$CU$92,'JSM Eingabe+TW'!$CU$92," ")</f>
        <v xml:space="preserve"> </v>
      </c>
      <c r="AB24" s="622">
        <f t="shared" si="4"/>
        <v>359</v>
      </c>
    </row>
    <row r="25" spans="2:28" x14ac:dyDescent="0.2">
      <c r="B25" s="874" t="s">
        <v>237</v>
      </c>
      <c r="C25" s="874"/>
      <c r="D25" s="874"/>
      <c r="E25" s="669">
        <f>'JSM Eingabe+TW'!N104</f>
        <v>365</v>
      </c>
      <c r="F25" s="722" t="s">
        <v>33</v>
      </c>
      <c r="S25" s="692">
        <v>358</v>
      </c>
      <c r="T25" s="703">
        <v>8</v>
      </c>
      <c r="U25" s="692">
        <f>LARGE('JSM Eingabe+TW'!$DJ$32:$DU$62,S25)</f>
        <v>9.9999999999999995E-7</v>
      </c>
      <c r="V25" s="622">
        <f t="shared" si="0"/>
        <v>0</v>
      </c>
      <c r="W25" s="622">
        <f t="shared" si="1"/>
        <v>0</v>
      </c>
      <c r="X25" s="635">
        <f t="shared" si="2"/>
        <v>1.830000000000012E-4</v>
      </c>
      <c r="Y25" s="622">
        <f t="shared" si="3"/>
        <v>3.5800000000000236E-4</v>
      </c>
      <c r="AA25" s="622" t="str">
        <f>IF(U25&gt;'JSM Eingabe+TW'!$CU$92,'JSM Eingabe+TW'!$CU$92," ")</f>
        <v xml:space="preserve"> </v>
      </c>
      <c r="AB25" s="622">
        <f t="shared" si="4"/>
        <v>358</v>
      </c>
    </row>
    <row r="26" spans="2:28" ht="43.5" customHeight="1" x14ac:dyDescent="0.2">
      <c r="B26" s="878" t="str">
        <f>IF('JSM Eingabe+TW'!DX18&gt;0,"Für fehlende Einträge und für Hochwassertage wird folgender Ersatzwert berücksichtigt:"," ")</f>
        <v>Für fehlende Einträge und für Hochwassertage wird folgender Ersatzwert berücksichtigt:</v>
      </c>
      <c r="C26" s="878"/>
      <c r="D26" s="878"/>
      <c r="E26" s="725">
        <f>'JSM Jahresdauerlinie'!E26</f>
        <v>9.9999999999999995E-7</v>
      </c>
      <c r="F26" s="726" t="str">
        <f>IF('JSM Eingabe+TW'!DX18&gt;0,"m³/d"," ")</f>
        <v>m³/d</v>
      </c>
      <c r="S26" s="692">
        <v>357</v>
      </c>
      <c r="T26" s="703">
        <v>9</v>
      </c>
      <c r="U26" s="692">
        <f>LARGE('JSM Eingabe+TW'!$DJ$32:$DU$62,S26)</f>
        <v>9.9999999999999995E-7</v>
      </c>
      <c r="V26" s="622">
        <f t="shared" si="0"/>
        <v>0</v>
      </c>
      <c r="W26" s="622">
        <f t="shared" si="1"/>
        <v>0</v>
      </c>
      <c r="X26" s="635">
        <f t="shared" si="2"/>
        <v>1.830000000000012E-4</v>
      </c>
      <c r="Y26" s="622">
        <f t="shared" si="3"/>
        <v>3.5700000000000233E-4</v>
      </c>
      <c r="AA26" s="622" t="str">
        <f>IF(U26&gt;'JSM Eingabe+TW'!$CU$92,'JSM Eingabe+TW'!$CU$92," ")</f>
        <v xml:space="preserve"> </v>
      </c>
      <c r="AB26" s="622">
        <f t="shared" si="4"/>
        <v>357</v>
      </c>
    </row>
    <row r="27" spans="2:28" ht="14.25" customHeight="1" x14ac:dyDescent="0.2">
      <c r="S27" s="692">
        <v>356</v>
      </c>
      <c r="T27" s="703">
        <v>10</v>
      </c>
      <c r="U27" s="692">
        <f>LARGE('JSM Eingabe+TW'!$DJ$32:$DU$62,S27)</f>
        <v>9.9999999999999995E-7</v>
      </c>
      <c r="V27" s="622">
        <f t="shared" si="0"/>
        <v>0</v>
      </c>
      <c r="W27" s="622">
        <f t="shared" si="1"/>
        <v>0</v>
      </c>
      <c r="X27" s="635">
        <f t="shared" si="2"/>
        <v>1.830000000000012E-4</v>
      </c>
      <c r="Y27" s="622">
        <f t="shared" si="3"/>
        <v>3.5600000000000231E-4</v>
      </c>
      <c r="AA27" s="622" t="str">
        <f>IF(U27&gt;'JSM Eingabe+TW'!$CU$92,'JSM Eingabe+TW'!$CU$92," ")</f>
        <v xml:space="preserve"> </v>
      </c>
      <c r="AB27" s="622">
        <f t="shared" si="4"/>
        <v>356</v>
      </c>
    </row>
    <row r="28" spans="2:28" ht="16.5" customHeight="1" x14ac:dyDescent="0.2">
      <c r="B28" s="877" t="s">
        <v>238</v>
      </c>
      <c r="C28" s="877"/>
      <c r="D28" s="877"/>
      <c r="S28" s="692">
        <v>355</v>
      </c>
      <c r="T28" s="703">
        <v>11</v>
      </c>
      <c r="U28" s="692">
        <f>LARGE('JSM Eingabe+TW'!$DJ$32:$DU$62,S28)</f>
        <v>9.9999999999999995E-7</v>
      </c>
      <c r="V28" s="622">
        <f t="shared" si="0"/>
        <v>0</v>
      </c>
      <c r="W28" s="622">
        <f t="shared" si="1"/>
        <v>0</v>
      </c>
      <c r="X28" s="635">
        <f t="shared" si="2"/>
        <v>1.830000000000012E-4</v>
      </c>
      <c r="Y28" s="622">
        <f t="shared" si="3"/>
        <v>3.5500000000000234E-4</v>
      </c>
      <c r="AA28" s="622" t="str">
        <f>IF(U28&gt;'JSM Eingabe+TW'!$CU$92,'JSM Eingabe+TW'!$CU$92," ")</f>
        <v xml:space="preserve"> </v>
      </c>
      <c r="AB28" s="622">
        <f t="shared" si="4"/>
        <v>355</v>
      </c>
    </row>
    <row r="29" spans="2:28" x14ac:dyDescent="0.2">
      <c r="B29" s="874" t="s">
        <v>233</v>
      </c>
      <c r="C29" s="874"/>
      <c r="D29" s="874"/>
      <c r="E29" s="727">
        <f>'JSM Eingabe+TW'!AB64</f>
        <v>0</v>
      </c>
      <c r="F29" s="722" t="s">
        <v>33</v>
      </c>
      <c r="G29" s="179" t="s">
        <v>332</v>
      </c>
      <c r="S29" s="692">
        <v>354</v>
      </c>
      <c r="T29" s="703">
        <v>12</v>
      </c>
      <c r="U29" s="692">
        <f>LARGE('JSM Eingabe+TW'!$DJ$32:$DU$62,S29)</f>
        <v>9.9999999999999995E-7</v>
      </c>
      <c r="V29" s="622">
        <f t="shared" si="0"/>
        <v>0</v>
      </c>
      <c r="W29" s="622">
        <f t="shared" si="1"/>
        <v>0</v>
      </c>
      <c r="X29" s="635">
        <f t="shared" si="2"/>
        <v>1.830000000000012E-4</v>
      </c>
      <c r="Y29" s="622">
        <f t="shared" si="3"/>
        <v>3.5400000000000232E-4</v>
      </c>
      <c r="Z29" s="622">
        <f>P$34</f>
        <v>0</v>
      </c>
      <c r="AA29" s="622" t="str">
        <f>IF(U29&gt;'JSM Eingabe+TW'!$CU$92,'JSM Eingabe+TW'!$CU$92," ")</f>
        <v xml:space="preserve"> </v>
      </c>
      <c r="AB29" s="622">
        <f t="shared" si="4"/>
        <v>354</v>
      </c>
    </row>
    <row r="30" spans="2:28" ht="13.5" customHeight="1" x14ac:dyDescent="0.2">
      <c r="B30" s="874" t="s">
        <v>87</v>
      </c>
      <c r="C30" s="874"/>
      <c r="D30" s="874"/>
      <c r="E30" s="728">
        <f>E29/2</f>
        <v>0</v>
      </c>
      <c r="F30" s="722" t="s">
        <v>33</v>
      </c>
      <c r="G30" s="179"/>
      <c r="S30" s="692">
        <v>353</v>
      </c>
      <c r="T30" s="703">
        <v>13</v>
      </c>
      <c r="U30" s="692">
        <f>LARGE('JSM Eingabe+TW'!$DJ$32:$DU$62,S30)</f>
        <v>9.9999999999999995E-7</v>
      </c>
      <c r="V30" s="622">
        <f t="shared" si="0"/>
        <v>0</v>
      </c>
      <c r="W30" s="622">
        <f t="shared" si="1"/>
        <v>0</v>
      </c>
      <c r="X30" s="635">
        <f t="shared" si="2"/>
        <v>1.830000000000012E-4</v>
      </c>
      <c r="Y30" s="622">
        <f t="shared" si="3"/>
        <v>3.5300000000000229E-4</v>
      </c>
      <c r="AA30" s="622" t="str">
        <f>IF(U30&gt;'JSM Eingabe+TW'!$CU$92,'JSM Eingabe+TW'!$CU$92," ")</f>
        <v xml:space="preserve"> </v>
      </c>
      <c r="AB30" s="622">
        <f t="shared" si="4"/>
        <v>353</v>
      </c>
    </row>
    <row r="31" spans="2:28" ht="13.5" customHeight="1" x14ac:dyDescent="0.2">
      <c r="S31" s="692">
        <v>352</v>
      </c>
      <c r="T31" s="703">
        <v>14</v>
      </c>
      <c r="U31" s="692">
        <f>LARGE('JSM Eingabe+TW'!$DJ$32:$DU$62,S31)</f>
        <v>9.9999999999999995E-7</v>
      </c>
      <c r="V31" s="622">
        <f t="shared" si="0"/>
        <v>0</v>
      </c>
      <c r="W31" s="622">
        <f t="shared" si="1"/>
        <v>0</v>
      </c>
      <c r="X31" s="635">
        <f t="shared" si="2"/>
        <v>1.830000000000012E-4</v>
      </c>
      <c r="Y31" s="622">
        <f t="shared" si="3"/>
        <v>3.5200000000000227E-4</v>
      </c>
      <c r="AA31" s="622" t="str">
        <f>IF(U31&gt;'JSM Eingabe+TW'!$CU$92,'JSM Eingabe+TW'!$CU$92," ")</f>
        <v xml:space="preserve"> </v>
      </c>
      <c r="AB31" s="622">
        <f t="shared" si="4"/>
        <v>352</v>
      </c>
    </row>
    <row r="32" spans="2:28" ht="13.5" customHeight="1" x14ac:dyDescent="0.2">
      <c r="S32" s="692">
        <v>351</v>
      </c>
      <c r="T32" s="703">
        <v>15</v>
      </c>
      <c r="U32" s="692">
        <f>LARGE('JSM Eingabe+TW'!$DJ$32:$DU$62,S32)</f>
        <v>9.9999999999999995E-7</v>
      </c>
      <c r="V32" s="622">
        <f t="shared" si="0"/>
        <v>0</v>
      </c>
      <c r="W32" s="622">
        <f t="shared" si="1"/>
        <v>0</v>
      </c>
      <c r="X32" s="635">
        <f t="shared" si="2"/>
        <v>1.830000000000012E-4</v>
      </c>
      <c r="Y32" s="622">
        <f t="shared" si="3"/>
        <v>3.510000000000023E-4</v>
      </c>
      <c r="AA32" s="622" t="str">
        <f>IF(U32&gt;'JSM Eingabe+TW'!$CU$92,'JSM Eingabe+TW'!$CU$92," ")</f>
        <v xml:space="preserve"> </v>
      </c>
      <c r="AB32" s="622">
        <f t="shared" si="4"/>
        <v>351</v>
      </c>
    </row>
    <row r="33" spans="1:31" ht="13.5" thickBot="1" x14ac:dyDescent="0.25">
      <c r="S33" s="692">
        <v>350</v>
      </c>
      <c r="T33" s="703">
        <v>16</v>
      </c>
      <c r="U33" s="692">
        <f>LARGE('JSM Eingabe+TW'!$DJ$32:$DU$62,S33)</f>
        <v>9.9999999999999995E-7</v>
      </c>
      <c r="V33" s="622">
        <f t="shared" si="0"/>
        <v>0</v>
      </c>
      <c r="W33" s="622">
        <f t="shared" si="1"/>
        <v>0</v>
      </c>
      <c r="X33" s="635">
        <f t="shared" si="2"/>
        <v>1.830000000000012E-4</v>
      </c>
      <c r="Y33" s="622">
        <f t="shared" si="3"/>
        <v>3.5000000000000227E-4</v>
      </c>
      <c r="AA33" s="622" t="str">
        <f>IF(U33&gt;'JSM Eingabe+TW'!$CU$92,'JSM Eingabe+TW'!$CU$92," ")</f>
        <v xml:space="preserve"> </v>
      </c>
      <c r="AB33" s="622">
        <f t="shared" si="4"/>
        <v>350</v>
      </c>
    </row>
    <row r="34" spans="1:31" ht="32.25" customHeight="1" x14ac:dyDescent="0.2">
      <c r="H34" s="729"/>
      <c r="I34" s="873" t="s">
        <v>337</v>
      </c>
      <c r="J34" s="873"/>
      <c r="K34" s="873"/>
      <c r="L34" s="873"/>
      <c r="M34" s="873"/>
      <c r="N34" s="665">
        <f>'JSM Eingabe+TW'!S18</f>
        <v>0</v>
      </c>
      <c r="O34" s="637" t="s">
        <v>334</v>
      </c>
      <c r="P34" s="640">
        <f>'JSM Eingabe+TW'!S18/365</f>
        <v>0</v>
      </c>
      <c r="Q34" s="638" t="s">
        <v>213</v>
      </c>
      <c r="S34" s="692">
        <v>349</v>
      </c>
      <c r="T34" s="703">
        <v>17</v>
      </c>
      <c r="U34" s="692">
        <f>LARGE('JSM Eingabe+TW'!$DJ$32:$DU$62,S34)</f>
        <v>9.9999999999999995E-7</v>
      </c>
      <c r="V34" s="622">
        <f t="shared" si="0"/>
        <v>0</v>
      </c>
      <c r="W34" s="622">
        <f t="shared" si="1"/>
        <v>0</v>
      </c>
      <c r="X34" s="635">
        <f t="shared" si="2"/>
        <v>1.830000000000012E-4</v>
      </c>
      <c r="Y34" s="622">
        <f t="shared" si="3"/>
        <v>3.4900000000000225E-4</v>
      </c>
      <c r="Z34" s="622">
        <f>P$34</f>
        <v>0</v>
      </c>
      <c r="AB34" s="622">
        <f t="shared" si="4"/>
        <v>349</v>
      </c>
    </row>
    <row r="35" spans="1:31" s="691" customFormat="1" ht="19.5" customHeight="1" x14ac:dyDescent="0.2">
      <c r="A35" s="730"/>
      <c r="B35" s="730"/>
      <c r="C35" s="730"/>
      <c r="D35" s="730"/>
      <c r="E35" s="730"/>
      <c r="F35" s="730"/>
      <c r="G35" s="730"/>
      <c r="H35" s="731"/>
      <c r="I35" s="664" t="s">
        <v>197</v>
      </c>
      <c r="J35" s="879" t="s">
        <v>333</v>
      </c>
      <c r="K35" s="879"/>
      <c r="L35" s="879"/>
      <c r="M35" s="879"/>
      <c r="N35" s="880">
        <f>Y15-P34*'JSM Eingabe+TW'!AF65</f>
        <v>6.6795000000000437E-2</v>
      </c>
      <c r="O35" s="881" t="s">
        <v>334</v>
      </c>
      <c r="P35" s="882">
        <f>Y15/365</f>
        <v>1.830000000000012E-4</v>
      </c>
      <c r="Q35" s="883" t="s">
        <v>213</v>
      </c>
      <c r="R35" s="730"/>
      <c r="S35" s="692">
        <v>348</v>
      </c>
      <c r="T35" s="704">
        <v>18</v>
      </c>
      <c r="U35" s="692">
        <f>LARGE('JSM Eingabe+TW'!$DJ$32:$DU$62,S35)</f>
        <v>9.9999999999999995E-7</v>
      </c>
      <c r="V35" s="659">
        <f t="shared" si="0"/>
        <v>0</v>
      </c>
      <c r="W35" s="659">
        <f t="shared" si="1"/>
        <v>0</v>
      </c>
      <c r="X35" s="658">
        <f t="shared" si="2"/>
        <v>1.830000000000012E-4</v>
      </c>
      <c r="Y35" s="659">
        <f t="shared" si="3"/>
        <v>3.4800000000000228E-4</v>
      </c>
      <c r="Z35" s="659"/>
      <c r="AA35" s="659"/>
      <c r="AB35" s="659">
        <f t="shared" si="4"/>
        <v>348</v>
      </c>
      <c r="AC35" s="659"/>
      <c r="AD35" s="659"/>
      <c r="AE35" s="659"/>
    </row>
    <row r="36" spans="1:31" ht="21" customHeight="1" x14ac:dyDescent="0.2">
      <c r="H36" s="732"/>
      <c r="I36" s="687"/>
      <c r="J36" s="879"/>
      <c r="K36" s="879"/>
      <c r="L36" s="879"/>
      <c r="M36" s="879"/>
      <c r="N36" s="880"/>
      <c r="O36" s="881"/>
      <c r="P36" s="882"/>
      <c r="Q36" s="883"/>
      <c r="S36" s="692">
        <v>347</v>
      </c>
      <c r="T36" s="703">
        <v>19</v>
      </c>
      <c r="U36" s="692">
        <f>LARGE('JSM Eingabe+TW'!$DJ$32:$DU$62,S36)</f>
        <v>9.9999999999999995E-7</v>
      </c>
      <c r="V36" s="622">
        <f t="shared" si="0"/>
        <v>0</v>
      </c>
      <c r="W36" s="622">
        <f t="shared" si="1"/>
        <v>0</v>
      </c>
      <c r="X36" s="635">
        <f t="shared" si="2"/>
        <v>1.830000000000012E-4</v>
      </c>
      <c r="Y36" s="622">
        <f t="shared" si="3"/>
        <v>3.4700000000000225E-4</v>
      </c>
      <c r="AB36" s="622">
        <f t="shared" si="4"/>
        <v>347</v>
      </c>
    </row>
    <row r="37" spans="1:31" ht="21" customHeight="1" x14ac:dyDescent="0.2">
      <c r="H37" s="731"/>
      <c r="I37" s="664"/>
      <c r="J37" s="664" t="s">
        <v>89</v>
      </c>
      <c r="K37" s="733"/>
      <c r="L37" s="660"/>
      <c r="M37" s="662" t="s">
        <v>316</v>
      </c>
      <c r="N37" s="686">
        <f>N35+'JSM Eingabe+TW'!S18</f>
        <v>6.6795000000000437E-2</v>
      </c>
      <c r="O37" s="687" t="s">
        <v>336</v>
      </c>
      <c r="P37" s="733"/>
      <c r="Q37" s="734"/>
      <c r="S37" s="692">
        <v>346</v>
      </c>
      <c r="T37" s="703">
        <v>20</v>
      </c>
      <c r="U37" s="692">
        <f>LARGE('JSM Eingabe+TW'!$DJ$32:$DU$62,S37)</f>
        <v>9.9999999999999995E-7</v>
      </c>
      <c r="V37" s="622">
        <f t="shared" si="0"/>
        <v>0</v>
      </c>
      <c r="W37" s="622">
        <f t="shared" si="1"/>
        <v>0</v>
      </c>
      <c r="X37" s="635">
        <f t="shared" si="2"/>
        <v>1.830000000000012E-4</v>
      </c>
      <c r="Y37" s="622">
        <f t="shared" si="3"/>
        <v>3.4600000000000223E-4</v>
      </c>
      <c r="AB37" s="622">
        <f t="shared" si="4"/>
        <v>346</v>
      </c>
    </row>
    <row r="38" spans="1:31" ht="13.5" thickBot="1" x14ac:dyDescent="0.25">
      <c r="H38" s="735"/>
      <c r="I38" s="736"/>
      <c r="J38" s="737"/>
      <c r="K38" s="738"/>
      <c r="L38" s="738"/>
      <c r="M38" s="661" t="s">
        <v>335</v>
      </c>
      <c r="N38" s="666">
        <f>N35/N37*100</f>
        <v>100</v>
      </c>
      <c r="O38" s="663" t="s">
        <v>58</v>
      </c>
      <c r="P38" s="737"/>
      <c r="Q38" s="739"/>
      <c r="S38" s="692">
        <v>345</v>
      </c>
      <c r="T38" s="703">
        <v>21</v>
      </c>
      <c r="U38" s="692">
        <f>LARGE('JSM Eingabe+TW'!$DJ$32:$DU$62,S38)</f>
        <v>9.9999999999999995E-7</v>
      </c>
      <c r="V38" s="622">
        <f t="shared" si="0"/>
        <v>0</v>
      </c>
      <c r="W38" s="622">
        <f t="shared" si="1"/>
        <v>0</v>
      </c>
      <c r="X38" s="635">
        <f t="shared" si="2"/>
        <v>1.830000000000012E-4</v>
      </c>
      <c r="Y38" s="622">
        <f t="shared" si="3"/>
        <v>3.4500000000000226E-4</v>
      </c>
      <c r="AA38" s="622" t="str">
        <f>IF(U38&gt;'JSM Eingabe+TW'!$CU$92,'JSM Eingabe+TW'!$CU$92," ")</f>
        <v xml:space="preserve"> </v>
      </c>
      <c r="AB38" s="622">
        <f t="shared" si="4"/>
        <v>345</v>
      </c>
    </row>
    <row r="39" spans="1:31" x14ac:dyDescent="0.2">
      <c r="I39" s="669"/>
      <c r="J39" s="669"/>
      <c r="S39" s="692">
        <v>344</v>
      </c>
      <c r="T39" s="703">
        <v>22</v>
      </c>
      <c r="U39" s="692">
        <f>LARGE('JSM Eingabe+TW'!$DJ$32:$DU$62,S39)</f>
        <v>9.9999999999999995E-7</v>
      </c>
      <c r="V39" s="622">
        <f t="shared" si="0"/>
        <v>0</v>
      </c>
      <c r="W39" s="622">
        <f t="shared" si="1"/>
        <v>0</v>
      </c>
      <c r="X39" s="635">
        <f t="shared" si="2"/>
        <v>1.830000000000012E-4</v>
      </c>
      <c r="Y39" s="622">
        <f t="shared" si="3"/>
        <v>3.4400000000000224E-4</v>
      </c>
      <c r="Z39" s="622">
        <f>P$34</f>
        <v>0</v>
      </c>
      <c r="AB39" s="622">
        <f t="shared" si="4"/>
        <v>344</v>
      </c>
    </row>
    <row r="40" spans="1:31" x14ac:dyDescent="0.2">
      <c r="I40" s="669"/>
      <c r="J40" s="669"/>
      <c r="S40" s="692">
        <v>343</v>
      </c>
      <c r="T40" s="703">
        <v>23</v>
      </c>
      <c r="U40" s="692">
        <f>LARGE('JSM Eingabe+TW'!$DJ$32:$DU$62,S40)</f>
        <v>9.9999999999999995E-7</v>
      </c>
      <c r="V40" s="622">
        <f t="shared" si="0"/>
        <v>0</v>
      </c>
      <c r="W40" s="622">
        <f t="shared" si="1"/>
        <v>0</v>
      </c>
      <c r="X40" s="635">
        <f t="shared" si="2"/>
        <v>1.830000000000012E-4</v>
      </c>
      <c r="Y40" s="622">
        <f t="shared" si="3"/>
        <v>3.4300000000000221E-4</v>
      </c>
      <c r="AB40" s="622">
        <f t="shared" si="4"/>
        <v>343</v>
      </c>
    </row>
    <row r="41" spans="1:31" ht="12" customHeight="1" x14ac:dyDescent="0.2">
      <c r="J41" s="721" t="str">
        <f>IF(AA13&gt;0,"Der schwarz liniierte Bereich am rechten Rand liegt ausserhalb des Betrachtungsbereichs (fehlende Daten)"," ")</f>
        <v xml:space="preserve"> </v>
      </c>
      <c r="S41" s="692">
        <v>342</v>
      </c>
      <c r="T41" s="703">
        <v>24</v>
      </c>
      <c r="U41" s="692">
        <f>LARGE('JSM Eingabe+TW'!$DJ$32:$DU$62,S41)</f>
        <v>9.9999999999999995E-7</v>
      </c>
      <c r="V41" s="622">
        <f t="shared" si="0"/>
        <v>0</v>
      </c>
      <c r="W41" s="622">
        <f t="shared" si="1"/>
        <v>0</v>
      </c>
      <c r="X41" s="635">
        <f t="shared" si="2"/>
        <v>1.830000000000012E-4</v>
      </c>
      <c r="Y41" s="622">
        <f t="shared" si="3"/>
        <v>3.4200000000000224E-4</v>
      </c>
      <c r="AA41" s="622" t="str">
        <f>IF(U41&gt;'JSM Eingabe+TW'!$CU$92,'JSM Eingabe+TW'!$CU$92," ")</f>
        <v xml:space="preserve"> </v>
      </c>
      <c r="AB41" s="622">
        <f t="shared" si="4"/>
        <v>342</v>
      </c>
    </row>
    <row r="42" spans="1:31" x14ac:dyDescent="0.2">
      <c r="I42" s="669"/>
      <c r="J42" s="669"/>
      <c r="S42" s="692">
        <v>341</v>
      </c>
      <c r="T42" s="703">
        <v>25</v>
      </c>
      <c r="U42" s="692">
        <f>LARGE('JSM Eingabe+TW'!$DJ$32:$DU$62,S42)</f>
        <v>9.9999999999999995E-7</v>
      </c>
      <c r="V42" s="622">
        <f t="shared" si="0"/>
        <v>0</v>
      </c>
      <c r="W42" s="622">
        <f t="shared" si="1"/>
        <v>0</v>
      </c>
      <c r="X42" s="635">
        <f t="shared" si="2"/>
        <v>1.830000000000012E-4</v>
      </c>
      <c r="Y42" s="622">
        <f t="shared" si="3"/>
        <v>3.4100000000000222E-4</v>
      </c>
      <c r="AA42" s="622" t="str">
        <f>IF(U42&gt;'JSM Eingabe+TW'!$CU$92,'JSM Eingabe+TW'!$CU$92," ")</f>
        <v xml:space="preserve"> </v>
      </c>
      <c r="AB42" s="622">
        <f t="shared" si="4"/>
        <v>341</v>
      </c>
    </row>
    <row r="43" spans="1:31" ht="15.75" customHeight="1" x14ac:dyDescent="0.2">
      <c r="I43" s="669"/>
      <c r="J43" s="669"/>
      <c r="S43" s="692">
        <v>340</v>
      </c>
      <c r="T43" s="703">
        <v>26</v>
      </c>
      <c r="U43" s="692">
        <f>LARGE('JSM Eingabe+TW'!$DJ$32:$DU$62,S43)</f>
        <v>9.9999999999999995E-7</v>
      </c>
      <c r="V43" s="622">
        <f t="shared" si="0"/>
        <v>0</v>
      </c>
      <c r="W43" s="622">
        <f t="shared" si="1"/>
        <v>0</v>
      </c>
      <c r="X43" s="635">
        <f t="shared" si="2"/>
        <v>1.830000000000012E-4</v>
      </c>
      <c r="Y43" s="622">
        <f t="shared" si="3"/>
        <v>3.4000000000000219E-4</v>
      </c>
      <c r="AA43" s="622" t="str">
        <f>IF(U43&gt;'JSM Eingabe+TW'!$CU$92,'JSM Eingabe+TW'!$CU$92," ")</f>
        <v xml:space="preserve"> </v>
      </c>
      <c r="AB43" s="622">
        <f t="shared" si="4"/>
        <v>340</v>
      </c>
    </row>
    <row r="44" spans="1:31" x14ac:dyDescent="0.2">
      <c r="I44" s="669"/>
      <c r="J44" s="669"/>
      <c r="S44" s="692">
        <v>339</v>
      </c>
      <c r="T44" s="703">
        <v>27</v>
      </c>
      <c r="U44" s="692">
        <f>LARGE('JSM Eingabe+TW'!$DJ$32:$DU$62,S44)</f>
        <v>9.9999999999999995E-7</v>
      </c>
      <c r="V44" s="622">
        <f t="shared" si="0"/>
        <v>0</v>
      </c>
      <c r="W44" s="622">
        <f t="shared" si="1"/>
        <v>0</v>
      </c>
      <c r="X44" s="635">
        <f t="shared" si="2"/>
        <v>1.830000000000012E-4</v>
      </c>
      <c r="Y44" s="622">
        <f t="shared" si="3"/>
        <v>3.3900000000000222E-4</v>
      </c>
      <c r="Z44" s="622">
        <f>P$34</f>
        <v>0</v>
      </c>
      <c r="AA44" s="622" t="str">
        <f>IF(U44&gt;'JSM Eingabe+TW'!$CU$92,'JSM Eingabe+TW'!$CU$92," ")</f>
        <v xml:space="preserve"> </v>
      </c>
      <c r="AB44" s="622">
        <f t="shared" si="4"/>
        <v>339</v>
      </c>
    </row>
    <row r="45" spans="1:31" x14ac:dyDescent="0.2">
      <c r="I45" s="669"/>
      <c r="J45" s="669"/>
      <c r="S45" s="692">
        <v>338</v>
      </c>
      <c r="T45" s="703">
        <v>28</v>
      </c>
      <c r="U45" s="692">
        <f>LARGE('JSM Eingabe+TW'!$DJ$32:$DU$62,S45)</f>
        <v>9.9999999999999995E-7</v>
      </c>
      <c r="V45" s="622">
        <f t="shared" si="0"/>
        <v>0</v>
      </c>
      <c r="W45" s="622">
        <f t="shared" si="1"/>
        <v>0</v>
      </c>
      <c r="X45" s="635">
        <f t="shared" si="2"/>
        <v>1.830000000000012E-4</v>
      </c>
      <c r="Y45" s="622">
        <f t="shared" si="3"/>
        <v>3.380000000000022E-4</v>
      </c>
      <c r="AA45" s="622" t="str">
        <f>IF(U45&gt;'JSM Eingabe+TW'!$CU$92,'JSM Eingabe+TW'!$CU$92," ")</f>
        <v xml:space="preserve"> </v>
      </c>
      <c r="AB45" s="622">
        <f t="shared" si="4"/>
        <v>338</v>
      </c>
    </row>
    <row r="46" spans="1:31" x14ac:dyDescent="0.2">
      <c r="I46" s="669"/>
      <c r="J46" s="669"/>
      <c r="S46" s="692">
        <v>337</v>
      </c>
      <c r="T46" s="703">
        <v>29</v>
      </c>
      <c r="U46" s="692">
        <f>LARGE('JSM Eingabe+TW'!$DJ$32:$DU$62,S46)</f>
        <v>9.9999999999999995E-7</v>
      </c>
      <c r="V46" s="622">
        <f t="shared" si="0"/>
        <v>0</v>
      </c>
      <c r="W46" s="622">
        <f t="shared" si="1"/>
        <v>0</v>
      </c>
      <c r="X46" s="635">
        <f t="shared" si="2"/>
        <v>1.830000000000012E-4</v>
      </c>
      <c r="Y46" s="622">
        <f t="shared" si="3"/>
        <v>3.3700000000000217E-4</v>
      </c>
      <c r="AA46" s="622" t="str">
        <f>IF(U46&gt;'JSM Eingabe+TW'!$CU$92,'JSM Eingabe+TW'!$CU$92," ")</f>
        <v xml:space="preserve"> </v>
      </c>
      <c r="AB46" s="622">
        <f t="shared" si="4"/>
        <v>337</v>
      </c>
    </row>
    <row r="47" spans="1:31" x14ac:dyDescent="0.2">
      <c r="S47" s="692">
        <v>336</v>
      </c>
      <c r="T47" s="703">
        <v>30</v>
      </c>
      <c r="U47" s="692">
        <f>LARGE('JSM Eingabe+TW'!$DJ$32:$DU$62,S47)</f>
        <v>9.9999999999999995E-7</v>
      </c>
      <c r="V47" s="622">
        <f t="shared" si="0"/>
        <v>0</v>
      </c>
      <c r="W47" s="622">
        <f t="shared" si="1"/>
        <v>0</v>
      </c>
      <c r="X47" s="635">
        <f t="shared" si="2"/>
        <v>1.830000000000012E-4</v>
      </c>
      <c r="Y47" s="622">
        <f t="shared" si="3"/>
        <v>3.360000000000022E-4</v>
      </c>
      <c r="AA47" s="622" t="str">
        <f>IF(U47&gt;'JSM Eingabe+TW'!$CU$92,'JSM Eingabe+TW'!$CU$92," ")</f>
        <v xml:space="preserve"> </v>
      </c>
      <c r="AB47" s="622">
        <f t="shared" si="4"/>
        <v>336</v>
      </c>
    </row>
    <row r="48" spans="1:31" ht="28.5" customHeight="1" x14ac:dyDescent="0.2">
      <c r="S48" s="692">
        <v>335</v>
      </c>
      <c r="T48" s="703">
        <v>31</v>
      </c>
      <c r="U48" s="692">
        <f>LARGE('JSM Eingabe+TW'!$DJ$32:$DU$62,S48)</f>
        <v>9.9999999999999995E-7</v>
      </c>
      <c r="V48" s="622">
        <f t="shared" si="0"/>
        <v>0</v>
      </c>
      <c r="W48" s="622">
        <f t="shared" si="1"/>
        <v>0</v>
      </c>
      <c r="X48" s="635">
        <f t="shared" si="2"/>
        <v>1.830000000000012E-4</v>
      </c>
      <c r="Y48" s="622">
        <f t="shared" si="3"/>
        <v>3.3500000000000218E-4</v>
      </c>
      <c r="AA48" s="622" t="str">
        <f>IF(U48&gt;'JSM Eingabe+TW'!$CU$92,'JSM Eingabe+TW'!$CU$92," ")</f>
        <v xml:space="preserve"> </v>
      </c>
      <c r="AB48" s="622">
        <f t="shared" si="4"/>
        <v>335</v>
      </c>
    </row>
    <row r="49" spans="19:28" x14ac:dyDescent="0.2">
      <c r="S49" s="692">
        <v>334</v>
      </c>
      <c r="T49" s="703">
        <v>32</v>
      </c>
      <c r="U49" s="692">
        <f>LARGE('JSM Eingabe+TW'!$DJ$32:$DU$62,S49)</f>
        <v>9.9999999999999995E-7</v>
      </c>
      <c r="V49" s="622">
        <f t="shared" si="0"/>
        <v>0</v>
      </c>
      <c r="W49" s="622">
        <f t="shared" si="1"/>
        <v>0</v>
      </c>
      <c r="X49" s="635">
        <f t="shared" si="2"/>
        <v>1.830000000000012E-4</v>
      </c>
      <c r="Y49" s="622">
        <f t="shared" si="3"/>
        <v>3.3400000000000216E-4</v>
      </c>
      <c r="Z49" s="622">
        <f>P$34</f>
        <v>0</v>
      </c>
      <c r="AA49" s="622" t="str">
        <f>IF(U49&gt;'JSM Eingabe+TW'!$CU$92,'JSM Eingabe+TW'!$CU$92," ")</f>
        <v xml:space="preserve"> </v>
      </c>
      <c r="AB49" s="622">
        <f t="shared" si="4"/>
        <v>334</v>
      </c>
    </row>
    <row r="50" spans="19:28" x14ac:dyDescent="0.2">
      <c r="S50" s="692">
        <v>333</v>
      </c>
      <c r="T50" s="703">
        <v>33</v>
      </c>
      <c r="U50" s="692">
        <f>LARGE('JSM Eingabe+TW'!$DJ$32:$DU$62,S50)</f>
        <v>9.9999999999999995E-7</v>
      </c>
      <c r="V50" s="622">
        <f t="shared" si="0"/>
        <v>0</v>
      </c>
      <c r="W50" s="622">
        <f t="shared" si="1"/>
        <v>0</v>
      </c>
      <c r="X50" s="635">
        <f t="shared" si="2"/>
        <v>1.830000000000012E-4</v>
      </c>
      <c r="Y50" s="622">
        <f t="shared" si="3"/>
        <v>3.3300000000000219E-4</v>
      </c>
      <c r="AA50" s="622" t="str">
        <f>IF(U50&gt;'JSM Eingabe+TW'!$CU$92,'JSM Eingabe+TW'!$CU$92," ")</f>
        <v xml:space="preserve"> </v>
      </c>
      <c r="AB50" s="622">
        <f t="shared" si="4"/>
        <v>333</v>
      </c>
    </row>
    <row r="51" spans="19:28" x14ac:dyDescent="0.2">
      <c r="S51" s="692">
        <v>332</v>
      </c>
      <c r="T51" s="703">
        <v>34</v>
      </c>
      <c r="U51" s="692">
        <f>LARGE('JSM Eingabe+TW'!$DJ$32:$DU$62,S51)</f>
        <v>9.9999999999999995E-7</v>
      </c>
      <c r="V51" s="622">
        <f t="shared" si="0"/>
        <v>0</v>
      </c>
      <c r="W51" s="622">
        <f t="shared" si="1"/>
        <v>0</v>
      </c>
      <c r="X51" s="635">
        <f t="shared" si="2"/>
        <v>1.830000000000012E-4</v>
      </c>
      <c r="Y51" s="622">
        <f t="shared" si="3"/>
        <v>3.3200000000000216E-4</v>
      </c>
      <c r="AA51" s="622" t="str">
        <f>IF(U51&gt;'JSM Eingabe+TW'!$CU$92,'JSM Eingabe+TW'!$CU$92," ")</f>
        <v xml:space="preserve"> </v>
      </c>
      <c r="AB51" s="622">
        <f t="shared" si="4"/>
        <v>332</v>
      </c>
    </row>
    <row r="52" spans="19:28" x14ac:dyDescent="0.2">
      <c r="S52" s="692">
        <v>331</v>
      </c>
      <c r="T52" s="703">
        <v>35</v>
      </c>
      <c r="U52" s="692">
        <f>LARGE('JSM Eingabe+TW'!$DJ$32:$DU$62,S52)</f>
        <v>9.9999999999999995E-7</v>
      </c>
      <c r="V52" s="622">
        <f t="shared" si="0"/>
        <v>0</v>
      </c>
      <c r="W52" s="622">
        <f t="shared" si="1"/>
        <v>0</v>
      </c>
      <c r="X52" s="635">
        <f t="shared" si="2"/>
        <v>1.830000000000012E-4</v>
      </c>
      <c r="Y52" s="622">
        <f t="shared" si="3"/>
        <v>3.3100000000000214E-4</v>
      </c>
      <c r="AA52" s="622" t="str">
        <f>IF(U52&gt;'JSM Eingabe+TW'!$CU$92,'JSM Eingabe+TW'!$CU$92," ")</f>
        <v xml:space="preserve"> </v>
      </c>
      <c r="AB52" s="622">
        <f t="shared" si="4"/>
        <v>331</v>
      </c>
    </row>
    <row r="53" spans="19:28" x14ac:dyDescent="0.2">
      <c r="S53" s="692">
        <v>330</v>
      </c>
      <c r="T53" s="703">
        <v>36</v>
      </c>
      <c r="U53" s="692">
        <f>LARGE('JSM Eingabe+TW'!$DJ$32:$DU$62,S53)</f>
        <v>9.9999999999999995E-7</v>
      </c>
      <c r="V53" s="622">
        <f t="shared" si="0"/>
        <v>0</v>
      </c>
      <c r="W53" s="622">
        <f t="shared" si="1"/>
        <v>0</v>
      </c>
      <c r="X53" s="635">
        <f t="shared" si="2"/>
        <v>1.830000000000012E-4</v>
      </c>
      <c r="Y53" s="622">
        <f t="shared" si="3"/>
        <v>3.3000000000000217E-4</v>
      </c>
      <c r="AA53" s="622" t="str">
        <f>IF(U53&gt;'JSM Eingabe+TW'!$CU$92,'JSM Eingabe+TW'!$CU$92," ")</f>
        <v xml:space="preserve"> </v>
      </c>
      <c r="AB53" s="622">
        <f t="shared" si="4"/>
        <v>330</v>
      </c>
    </row>
    <row r="54" spans="19:28" x14ac:dyDescent="0.2">
      <c r="S54" s="692">
        <v>329</v>
      </c>
      <c r="T54" s="703">
        <v>37</v>
      </c>
      <c r="U54" s="692">
        <f>LARGE('JSM Eingabe+TW'!$DJ$32:$DU$62,S54)</f>
        <v>9.9999999999999995E-7</v>
      </c>
      <c r="V54" s="622">
        <f t="shared" si="0"/>
        <v>0</v>
      </c>
      <c r="W54" s="622">
        <f t="shared" si="1"/>
        <v>0</v>
      </c>
      <c r="X54" s="635">
        <f t="shared" si="2"/>
        <v>1.830000000000012E-4</v>
      </c>
      <c r="Y54" s="622">
        <f t="shared" si="3"/>
        <v>3.2900000000000214E-4</v>
      </c>
      <c r="Z54" s="622">
        <f>P$34</f>
        <v>0</v>
      </c>
      <c r="AA54" s="622" t="str">
        <f>IF(U54&gt;'JSM Eingabe+TW'!$CU$92,'JSM Eingabe+TW'!$CU$92," ")</f>
        <v xml:space="preserve"> </v>
      </c>
      <c r="AB54" s="622">
        <f t="shared" si="4"/>
        <v>329</v>
      </c>
    </row>
    <row r="55" spans="19:28" x14ac:dyDescent="0.2">
      <c r="S55" s="692">
        <v>328</v>
      </c>
      <c r="T55" s="703">
        <v>38</v>
      </c>
      <c r="U55" s="692">
        <f>LARGE('JSM Eingabe+TW'!$DJ$32:$DU$62,S55)</f>
        <v>9.9999999999999995E-7</v>
      </c>
      <c r="V55" s="622">
        <f t="shared" si="0"/>
        <v>0</v>
      </c>
      <c r="W55" s="622">
        <f t="shared" si="1"/>
        <v>0</v>
      </c>
      <c r="X55" s="635">
        <f t="shared" si="2"/>
        <v>1.830000000000012E-4</v>
      </c>
      <c r="Y55" s="622">
        <f t="shared" si="3"/>
        <v>3.2800000000000212E-4</v>
      </c>
      <c r="AA55" s="622" t="str">
        <f>IF(U55&gt;'JSM Eingabe+TW'!$CU$92,'JSM Eingabe+TW'!$CU$92," ")</f>
        <v xml:space="preserve"> </v>
      </c>
      <c r="AB55" s="622">
        <f t="shared" si="4"/>
        <v>328</v>
      </c>
    </row>
    <row r="56" spans="19:28" x14ac:dyDescent="0.2">
      <c r="S56" s="692">
        <v>327</v>
      </c>
      <c r="T56" s="703">
        <v>39</v>
      </c>
      <c r="U56" s="692">
        <f>LARGE('JSM Eingabe+TW'!$DJ$32:$DU$62,S56)</f>
        <v>9.9999999999999995E-7</v>
      </c>
      <c r="V56" s="622">
        <f t="shared" si="0"/>
        <v>0</v>
      </c>
      <c r="W56" s="622">
        <f t="shared" si="1"/>
        <v>0</v>
      </c>
      <c r="X56" s="635">
        <f t="shared" si="2"/>
        <v>1.830000000000012E-4</v>
      </c>
      <c r="Y56" s="622">
        <f t="shared" si="3"/>
        <v>3.2700000000000215E-4</v>
      </c>
      <c r="AA56" s="622" t="str">
        <f>IF(U56&gt;'JSM Eingabe+TW'!$CU$92,'JSM Eingabe+TW'!$CU$92," ")</f>
        <v xml:space="preserve"> </v>
      </c>
      <c r="AB56" s="622">
        <f t="shared" si="4"/>
        <v>327</v>
      </c>
    </row>
    <row r="57" spans="19:28" x14ac:dyDescent="0.2">
      <c r="S57" s="692">
        <v>326</v>
      </c>
      <c r="T57" s="703">
        <v>40</v>
      </c>
      <c r="U57" s="692">
        <f>LARGE('JSM Eingabe+TW'!$DJ$32:$DU$62,S57)</f>
        <v>9.9999999999999995E-7</v>
      </c>
      <c r="V57" s="622">
        <f t="shared" si="0"/>
        <v>0</v>
      </c>
      <c r="W57" s="622">
        <f t="shared" si="1"/>
        <v>0</v>
      </c>
      <c r="X57" s="635">
        <f t="shared" si="2"/>
        <v>1.830000000000012E-4</v>
      </c>
      <c r="Y57" s="622">
        <f t="shared" si="3"/>
        <v>3.2600000000000212E-4</v>
      </c>
      <c r="AA57" s="622" t="str">
        <f>IF(U57&gt;'JSM Eingabe+TW'!$CU$92,'JSM Eingabe+TW'!$CU$92," ")</f>
        <v xml:space="preserve"> </v>
      </c>
      <c r="AB57" s="622">
        <f t="shared" si="4"/>
        <v>326</v>
      </c>
    </row>
    <row r="58" spans="19:28" x14ac:dyDescent="0.2">
      <c r="S58" s="692">
        <v>325</v>
      </c>
      <c r="T58" s="703">
        <v>41</v>
      </c>
      <c r="U58" s="692">
        <f>LARGE('JSM Eingabe+TW'!$DJ$32:$DU$62,S58)</f>
        <v>9.9999999999999995E-7</v>
      </c>
      <c r="V58" s="622">
        <f t="shared" si="0"/>
        <v>0</v>
      </c>
      <c r="W58" s="622">
        <f t="shared" si="1"/>
        <v>0</v>
      </c>
      <c r="X58" s="635">
        <f t="shared" si="2"/>
        <v>1.830000000000012E-4</v>
      </c>
      <c r="Y58" s="622">
        <f t="shared" si="3"/>
        <v>3.250000000000021E-4</v>
      </c>
      <c r="AA58" s="622" t="str">
        <f>IF(U58&gt;'JSM Eingabe+TW'!$CU$92,'JSM Eingabe+TW'!$CU$92," ")</f>
        <v xml:space="preserve"> </v>
      </c>
      <c r="AB58" s="622">
        <f t="shared" si="4"/>
        <v>325</v>
      </c>
    </row>
    <row r="59" spans="19:28" x14ac:dyDescent="0.2">
      <c r="S59" s="692">
        <v>324</v>
      </c>
      <c r="T59" s="703">
        <v>42</v>
      </c>
      <c r="U59" s="692">
        <f>LARGE('JSM Eingabe+TW'!$DJ$32:$DU$62,S59)</f>
        <v>9.9999999999999995E-7</v>
      </c>
      <c r="V59" s="622">
        <f t="shared" si="0"/>
        <v>0</v>
      </c>
      <c r="W59" s="622">
        <f t="shared" si="1"/>
        <v>0</v>
      </c>
      <c r="X59" s="635">
        <f t="shared" si="2"/>
        <v>1.830000000000012E-4</v>
      </c>
      <c r="Y59" s="622">
        <f t="shared" si="3"/>
        <v>3.2400000000000213E-4</v>
      </c>
      <c r="Z59" s="622">
        <f>P$34</f>
        <v>0</v>
      </c>
      <c r="AA59" s="622" t="str">
        <f>IF(U59&gt;'JSM Eingabe+TW'!$CU$92,'JSM Eingabe+TW'!$CU$92," ")</f>
        <v xml:space="preserve"> </v>
      </c>
      <c r="AB59" s="622">
        <f t="shared" si="4"/>
        <v>324</v>
      </c>
    </row>
    <row r="60" spans="19:28" x14ac:dyDescent="0.2">
      <c r="S60" s="692">
        <v>323</v>
      </c>
      <c r="T60" s="703">
        <v>43</v>
      </c>
      <c r="U60" s="692">
        <f>LARGE('JSM Eingabe+TW'!$DJ$32:$DU$62,S60)</f>
        <v>9.9999999999999995E-7</v>
      </c>
      <c r="V60" s="622">
        <f t="shared" si="0"/>
        <v>0</v>
      </c>
      <c r="W60" s="622">
        <f t="shared" si="1"/>
        <v>0</v>
      </c>
      <c r="X60" s="635">
        <f t="shared" si="2"/>
        <v>1.830000000000012E-4</v>
      </c>
      <c r="Y60" s="622">
        <f t="shared" si="3"/>
        <v>3.230000000000021E-4</v>
      </c>
      <c r="AA60" s="622" t="str">
        <f>IF(U60&gt;'JSM Eingabe+TW'!$CU$92,'JSM Eingabe+TW'!$CU$92," ")</f>
        <v xml:space="preserve"> </v>
      </c>
      <c r="AB60" s="622">
        <f t="shared" si="4"/>
        <v>323</v>
      </c>
    </row>
    <row r="61" spans="19:28" x14ac:dyDescent="0.2">
      <c r="S61" s="692">
        <v>322</v>
      </c>
      <c r="T61" s="703">
        <v>44</v>
      </c>
      <c r="U61" s="692">
        <f>LARGE('JSM Eingabe+TW'!$DJ$32:$DU$62,S61)</f>
        <v>9.9999999999999995E-7</v>
      </c>
      <c r="V61" s="622">
        <f t="shared" si="0"/>
        <v>0</v>
      </c>
      <c r="W61" s="622">
        <f t="shared" si="1"/>
        <v>0</v>
      </c>
      <c r="X61" s="635">
        <f t="shared" si="2"/>
        <v>1.830000000000012E-4</v>
      </c>
      <c r="Y61" s="622">
        <f t="shared" si="3"/>
        <v>3.2200000000000208E-4</v>
      </c>
      <c r="AA61" s="622" t="str">
        <f>IF(U61&gt;'JSM Eingabe+TW'!$CU$92,'JSM Eingabe+TW'!$CU$92," ")</f>
        <v xml:space="preserve"> </v>
      </c>
      <c r="AB61" s="622">
        <f t="shared" si="4"/>
        <v>322</v>
      </c>
    </row>
    <row r="62" spans="19:28" x14ac:dyDescent="0.2">
      <c r="S62" s="692">
        <v>321</v>
      </c>
      <c r="T62" s="703">
        <v>45</v>
      </c>
      <c r="U62" s="692">
        <f>LARGE('JSM Eingabe+TW'!$DJ$32:$DU$62,S62)</f>
        <v>9.9999999999999995E-7</v>
      </c>
      <c r="V62" s="622">
        <f t="shared" si="0"/>
        <v>0</v>
      </c>
      <c r="W62" s="622">
        <f t="shared" si="1"/>
        <v>0</v>
      </c>
      <c r="X62" s="635">
        <f t="shared" si="2"/>
        <v>1.830000000000012E-4</v>
      </c>
      <c r="Y62" s="622">
        <f t="shared" si="3"/>
        <v>3.2100000000000211E-4</v>
      </c>
      <c r="AA62" s="622" t="str">
        <f>IF(U62&gt;'JSM Eingabe+TW'!$CU$92,'JSM Eingabe+TW'!$CU$92," ")</f>
        <v xml:space="preserve"> </v>
      </c>
      <c r="AB62" s="622">
        <f t="shared" si="4"/>
        <v>321</v>
      </c>
    </row>
    <row r="63" spans="19:28" x14ac:dyDescent="0.2">
      <c r="S63" s="692">
        <v>320</v>
      </c>
      <c r="T63" s="703">
        <v>46</v>
      </c>
      <c r="U63" s="692">
        <f>LARGE('JSM Eingabe+TW'!$DJ$32:$DU$62,S63)</f>
        <v>9.9999999999999995E-7</v>
      </c>
      <c r="V63" s="622">
        <f t="shared" si="0"/>
        <v>0</v>
      </c>
      <c r="W63" s="622">
        <f t="shared" si="1"/>
        <v>0</v>
      </c>
      <c r="X63" s="635">
        <f t="shared" si="2"/>
        <v>1.830000000000012E-4</v>
      </c>
      <c r="Y63" s="622">
        <f t="shared" si="3"/>
        <v>3.2000000000000209E-4</v>
      </c>
      <c r="AA63" s="622" t="str">
        <f>IF(U63&gt;'JSM Eingabe+TW'!$CU$92,'JSM Eingabe+TW'!$CU$92," ")</f>
        <v xml:space="preserve"> </v>
      </c>
      <c r="AB63" s="622">
        <f t="shared" si="4"/>
        <v>320</v>
      </c>
    </row>
    <row r="64" spans="19:28" x14ac:dyDescent="0.2">
      <c r="S64" s="692">
        <v>319</v>
      </c>
      <c r="T64" s="703">
        <v>47</v>
      </c>
      <c r="U64" s="692">
        <f>LARGE('JSM Eingabe+TW'!$DJ$32:$DU$62,S64)</f>
        <v>9.9999999999999995E-7</v>
      </c>
      <c r="V64" s="622">
        <f t="shared" si="0"/>
        <v>0</v>
      </c>
      <c r="W64" s="622">
        <f t="shared" si="1"/>
        <v>0</v>
      </c>
      <c r="X64" s="635">
        <f t="shared" si="2"/>
        <v>1.830000000000012E-4</v>
      </c>
      <c r="Y64" s="622">
        <f t="shared" si="3"/>
        <v>3.1900000000000206E-4</v>
      </c>
      <c r="Z64" s="622">
        <f>P$34</f>
        <v>0</v>
      </c>
      <c r="AA64" s="622" t="str">
        <f>IF(U64&gt;'JSM Eingabe+TW'!$CU$92,'JSM Eingabe+TW'!$CU$92," ")</f>
        <v xml:space="preserve"> </v>
      </c>
      <c r="AB64" s="622">
        <f t="shared" si="4"/>
        <v>319</v>
      </c>
    </row>
    <row r="65" spans="19:28" x14ac:dyDescent="0.2">
      <c r="S65" s="692">
        <v>318</v>
      </c>
      <c r="T65" s="703">
        <v>48</v>
      </c>
      <c r="U65" s="692">
        <f>LARGE('JSM Eingabe+TW'!$DJ$32:$DU$62,S65)</f>
        <v>9.9999999999999995E-7</v>
      </c>
      <c r="V65" s="622">
        <f t="shared" si="0"/>
        <v>0</v>
      </c>
      <c r="W65" s="622">
        <f t="shared" si="1"/>
        <v>0</v>
      </c>
      <c r="X65" s="635">
        <f t="shared" si="2"/>
        <v>1.830000000000012E-4</v>
      </c>
      <c r="Y65" s="622">
        <f t="shared" si="3"/>
        <v>3.1800000000000209E-4</v>
      </c>
      <c r="AA65" s="622" t="str">
        <f>IF(U65&gt;'JSM Eingabe+TW'!$CU$92,'JSM Eingabe+TW'!$CU$92," ")</f>
        <v xml:space="preserve"> </v>
      </c>
      <c r="AB65" s="622">
        <f t="shared" si="4"/>
        <v>318</v>
      </c>
    </row>
    <row r="66" spans="19:28" x14ac:dyDescent="0.2">
      <c r="S66" s="692">
        <v>317</v>
      </c>
      <c r="T66" s="703">
        <v>49</v>
      </c>
      <c r="U66" s="692">
        <f>LARGE('JSM Eingabe+TW'!$DJ$32:$DU$62,S66)</f>
        <v>9.9999999999999995E-7</v>
      </c>
      <c r="V66" s="622">
        <f t="shared" si="0"/>
        <v>0</v>
      </c>
      <c r="W66" s="622">
        <f t="shared" si="1"/>
        <v>0</v>
      </c>
      <c r="X66" s="635">
        <f t="shared" si="2"/>
        <v>1.830000000000012E-4</v>
      </c>
      <c r="Y66" s="622">
        <f t="shared" si="3"/>
        <v>3.1700000000000207E-4</v>
      </c>
      <c r="AA66" s="622" t="str">
        <f>IF(U66&gt;'JSM Eingabe+TW'!$CU$92,'JSM Eingabe+TW'!$CU$92," ")</f>
        <v xml:space="preserve"> </v>
      </c>
      <c r="AB66" s="622">
        <f t="shared" si="4"/>
        <v>317</v>
      </c>
    </row>
    <row r="67" spans="19:28" x14ac:dyDescent="0.2">
      <c r="S67" s="692">
        <v>316</v>
      </c>
      <c r="T67" s="703">
        <v>50</v>
      </c>
      <c r="U67" s="692">
        <f>LARGE('JSM Eingabe+TW'!$DJ$32:$DU$62,S67)</f>
        <v>9.9999999999999995E-7</v>
      </c>
      <c r="V67" s="622">
        <f t="shared" si="0"/>
        <v>0</v>
      </c>
      <c r="W67" s="622">
        <f t="shared" si="1"/>
        <v>0</v>
      </c>
      <c r="X67" s="635">
        <f t="shared" si="2"/>
        <v>1.830000000000012E-4</v>
      </c>
      <c r="Y67" s="622">
        <f t="shared" si="3"/>
        <v>3.1600000000000204E-4</v>
      </c>
      <c r="AA67" s="622" t="str">
        <f>IF(U67&gt;'JSM Eingabe+TW'!$CU$92,'JSM Eingabe+TW'!$CU$92," ")</f>
        <v xml:space="preserve"> </v>
      </c>
      <c r="AB67" s="622">
        <f t="shared" si="4"/>
        <v>316</v>
      </c>
    </row>
    <row r="68" spans="19:28" x14ac:dyDescent="0.2">
      <c r="S68" s="692">
        <v>315</v>
      </c>
      <c r="T68" s="703">
        <v>51</v>
      </c>
      <c r="U68" s="692">
        <f>LARGE('JSM Eingabe+TW'!$DJ$32:$DU$62,S68)</f>
        <v>9.9999999999999995E-7</v>
      </c>
      <c r="V68" s="622">
        <f t="shared" si="0"/>
        <v>0</v>
      </c>
      <c r="W68" s="622">
        <f t="shared" si="1"/>
        <v>0</v>
      </c>
      <c r="X68" s="635">
        <f t="shared" si="2"/>
        <v>1.830000000000012E-4</v>
      </c>
      <c r="Y68" s="622">
        <f t="shared" si="3"/>
        <v>3.1500000000000207E-4</v>
      </c>
      <c r="AA68" s="622" t="str">
        <f>IF(U68&gt;'JSM Eingabe+TW'!$CU$92,'JSM Eingabe+TW'!$CU$92," ")</f>
        <v xml:space="preserve"> </v>
      </c>
      <c r="AB68" s="622">
        <f t="shared" si="4"/>
        <v>315</v>
      </c>
    </row>
    <row r="69" spans="19:28" x14ac:dyDescent="0.2">
      <c r="S69" s="692">
        <v>314</v>
      </c>
      <c r="T69" s="703">
        <v>52</v>
      </c>
      <c r="U69" s="692">
        <f>LARGE('JSM Eingabe+TW'!$DJ$32:$DU$62,S69)</f>
        <v>9.9999999999999995E-7</v>
      </c>
      <c r="V69" s="622">
        <f t="shared" si="0"/>
        <v>0</v>
      </c>
      <c r="W69" s="622">
        <f t="shared" si="1"/>
        <v>0</v>
      </c>
      <c r="X69" s="635">
        <f t="shared" si="2"/>
        <v>1.830000000000012E-4</v>
      </c>
      <c r="Y69" s="622">
        <f t="shared" si="3"/>
        <v>3.1400000000000205E-4</v>
      </c>
      <c r="Z69" s="622">
        <f>P$34</f>
        <v>0</v>
      </c>
      <c r="AA69" s="622" t="str">
        <f>IF(U69&gt;'JSM Eingabe+TW'!$CU$92,'JSM Eingabe+TW'!$CU$92," ")</f>
        <v xml:space="preserve"> </v>
      </c>
      <c r="AB69" s="622">
        <f t="shared" si="4"/>
        <v>314</v>
      </c>
    </row>
    <row r="70" spans="19:28" x14ac:dyDescent="0.2">
      <c r="S70" s="692">
        <v>313</v>
      </c>
      <c r="T70" s="703">
        <v>53</v>
      </c>
      <c r="U70" s="692">
        <f>LARGE('JSM Eingabe+TW'!$DJ$32:$DU$62,S70)</f>
        <v>9.9999999999999995E-7</v>
      </c>
      <c r="V70" s="622">
        <f t="shared" si="0"/>
        <v>0</v>
      </c>
      <c r="W70" s="622">
        <f t="shared" si="1"/>
        <v>0</v>
      </c>
      <c r="X70" s="635">
        <f t="shared" si="2"/>
        <v>1.830000000000012E-4</v>
      </c>
      <c r="Y70" s="622">
        <f t="shared" si="3"/>
        <v>3.1300000000000202E-4</v>
      </c>
      <c r="AA70" s="622" t="str">
        <f>IF(U70&gt;'JSM Eingabe+TW'!$CU$92,'JSM Eingabe+TW'!$CU$92," ")</f>
        <v xml:space="preserve"> </v>
      </c>
      <c r="AB70" s="622">
        <f t="shared" si="4"/>
        <v>313</v>
      </c>
    </row>
    <row r="71" spans="19:28" x14ac:dyDescent="0.2">
      <c r="S71" s="692">
        <v>312</v>
      </c>
      <c r="T71" s="703">
        <v>54</v>
      </c>
      <c r="U71" s="692">
        <f>LARGE('JSM Eingabe+TW'!$DJ$32:$DU$62,S71)</f>
        <v>9.9999999999999995E-7</v>
      </c>
      <c r="V71" s="622">
        <f t="shared" si="0"/>
        <v>0</v>
      </c>
      <c r="W71" s="622">
        <f t="shared" si="1"/>
        <v>0</v>
      </c>
      <c r="X71" s="635">
        <f t="shared" si="2"/>
        <v>1.830000000000012E-4</v>
      </c>
      <c r="Y71" s="622">
        <f t="shared" si="3"/>
        <v>3.1200000000000205E-4</v>
      </c>
      <c r="AA71" s="622" t="str">
        <f>IF(U71&gt;'JSM Eingabe+TW'!$CU$92,'JSM Eingabe+TW'!$CU$92," ")</f>
        <v xml:space="preserve"> </v>
      </c>
      <c r="AB71" s="622">
        <f t="shared" si="4"/>
        <v>312</v>
      </c>
    </row>
    <row r="72" spans="19:28" x14ac:dyDescent="0.2">
      <c r="S72" s="692">
        <v>311</v>
      </c>
      <c r="T72" s="703">
        <v>55</v>
      </c>
      <c r="U72" s="692">
        <f>LARGE('JSM Eingabe+TW'!$DJ$32:$DU$62,S72)</f>
        <v>9.9999999999999995E-7</v>
      </c>
      <c r="V72" s="622">
        <f t="shared" si="0"/>
        <v>0</v>
      </c>
      <c r="W72" s="622">
        <f t="shared" si="1"/>
        <v>0</v>
      </c>
      <c r="X72" s="635">
        <f t="shared" si="2"/>
        <v>1.830000000000012E-4</v>
      </c>
      <c r="Y72" s="622">
        <f t="shared" si="3"/>
        <v>3.1100000000000203E-4</v>
      </c>
      <c r="AA72" s="622" t="str">
        <f>IF(U72&gt;'JSM Eingabe+TW'!$CU$92,'JSM Eingabe+TW'!$CU$92," ")</f>
        <v xml:space="preserve"> </v>
      </c>
      <c r="AB72" s="622">
        <f t="shared" si="4"/>
        <v>311</v>
      </c>
    </row>
    <row r="73" spans="19:28" x14ac:dyDescent="0.2">
      <c r="S73" s="692">
        <v>310</v>
      </c>
      <c r="T73" s="703">
        <v>56</v>
      </c>
      <c r="U73" s="692">
        <f>LARGE('JSM Eingabe+TW'!$DJ$32:$DU$62,S73)</f>
        <v>9.9999999999999995E-7</v>
      </c>
      <c r="V73" s="622">
        <f t="shared" si="0"/>
        <v>0</v>
      </c>
      <c r="W73" s="622">
        <f t="shared" si="1"/>
        <v>0</v>
      </c>
      <c r="X73" s="635">
        <f t="shared" si="2"/>
        <v>1.830000000000012E-4</v>
      </c>
      <c r="Y73" s="622">
        <f t="shared" si="3"/>
        <v>3.1000000000000201E-4</v>
      </c>
      <c r="AA73" s="622" t="str">
        <f>IF(U73&gt;'JSM Eingabe+TW'!$CU$92,'JSM Eingabe+TW'!$CU$92," ")</f>
        <v xml:space="preserve"> </v>
      </c>
      <c r="AB73" s="622">
        <f t="shared" si="4"/>
        <v>310</v>
      </c>
    </row>
    <row r="74" spans="19:28" x14ac:dyDescent="0.2">
      <c r="S74" s="692">
        <v>309</v>
      </c>
      <c r="T74" s="703">
        <v>57</v>
      </c>
      <c r="U74" s="692">
        <f>LARGE('JSM Eingabe+TW'!$DJ$32:$DU$62,S74)</f>
        <v>9.9999999999999995E-7</v>
      </c>
      <c r="V74" s="622">
        <f t="shared" si="0"/>
        <v>0</v>
      </c>
      <c r="W74" s="622">
        <f t="shared" si="1"/>
        <v>0</v>
      </c>
      <c r="X74" s="635">
        <f t="shared" si="2"/>
        <v>1.830000000000012E-4</v>
      </c>
      <c r="Y74" s="622">
        <f t="shared" si="3"/>
        <v>3.0900000000000204E-4</v>
      </c>
      <c r="Z74" s="622">
        <f>P$34</f>
        <v>0</v>
      </c>
      <c r="AA74" s="622" t="str">
        <f>IF(U74&gt;'JSM Eingabe+TW'!$CU$92,'JSM Eingabe+TW'!$CU$92," ")</f>
        <v xml:space="preserve"> </v>
      </c>
      <c r="AB74" s="622">
        <f t="shared" si="4"/>
        <v>309</v>
      </c>
    </row>
    <row r="75" spans="19:28" x14ac:dyDescent="0.2">
      <c r="S75" s="692">
        <v>308</v>
      </c>
      <c r="T75" s="703">
        <v>58</v>
      </c>
      <c r="U75" s="692">
        <f>LARGE('JSM Eingabe+TW'!$DJ$32:$DU$62,S75)</f>
        <v>9.9999999999999995E-7</v>
      </c>
      <c r="V75" s="622">
        <f t="shared" si="0"/>
        <v>0</v>
      </c>
      <c r="W75" s="622">
        <f t="shared" si="1"/>
        <v>0</v>
      </c>
      <c r="X75" s="635">
        <f t="shared" si="2"/>
        <v>1.830000000000012E-4</v>
      </c>
      <c r="Y75" s="622">
        <f t="shared" si="3"/>
        <v>3.0800000000000201E-4</v>
      </c>
      <c r="AA75" s="622" t="str">
        <f>IF(U75&gt;'JSM Eingabe+TW'!$CU$92,'JSM Eingabe+TW'!$CU$92," ")</f>
        <v xml:space="preserve"> </v>
      </c>
      <c r="AB75" s="622">
        <f t="shared" si="4"/>
        <v>308</v>
      </c>
    </row>
    <row r="76" spans="19:28" x14ac:dyDescent="0.2">
      <c r="S76" s="692">
        <v>307</v>
      </c>
      <c r="T76" s="703">
        <v>59</v>
      </c>
      <c r="U76" s="692">
        <f>LARGE('JSM Eingabe+TW'!$DJ$32:$DU$62,S76)</f>
        <v>9.9999999999999995E-7</v>
      </c>
      <c r="V76" s="622">
        <f t="shared" si="0"/>
        <v>0</v>
      </c>
      <c r="W76" s="622">
        <f t="shared" si="1"/>
        <v>0</v>
      </c>
      <c r="X76" s="635">
        <f t="shared" si="2"/>
        <v>1.830000000000012E-4</v>
      </c>
      <c r="Y76" s="622">
        <f t="shared" si="3"/>
        <v>3.0700000000000199E-4</v>
      </c>
      <c r="AA76" s="622" t="str">
        <f>IF(U76&gt;'JSM Eingabe+TW'!$CU$92,'JSM Eingabe+TW'!$CU$92," ")</f>
        <v xml:space="preserve"> </v>
      </c>
      <c r="AB76" s="622">
        <f t="shared" si="4"/>
        <v>307</v>
      </c>
    </row>
    <row r="77" spans="19:28" x14ac:dyDescent="0.2">
      <c r="S77" s="692">
        <v>306</v>
      </c>
      <c r="T77" s="703">
        <v>60</v>
      </c>
      <c r="U77" s="692">
        <f>LARGE('JSM Eingabe+TW'!$DJ$32:$DU$62,S77)</f>
        <v>9.9999999999999995E-7</v>
      </c>
      <c r="V77" s="622">
        <f t="shared" si="0"/>
        <v>0</v>
      </c>
      <c r="W77" s="622">
        <f t="shared" si="1"/>
        <v>0</v>
      </c>
      <c r="X77" s="635">
        <f t="shared" si="2"/>
        <v>1.830000000000012E-4</v>
      </c>
      <c r="Y77" s="622">
        <f t="shared" si="3"/>
        <v>3.0600000000000202E-4</v>
      </c>
      <c r="AA77" s="622" t="str">
        <f>IF(U77&gt;'JSM Eingabe+TW'!$CU$92,'JSM Eingabe+TW'!$CU$92," ")</f>
        <v xml:space="preserve"> </v>
      </c>
      <c r="AB77" s="622">
        <f t="shared" si="4"/>
        <v>306</v>
      </c>
    </row>
    <row r="78" spans="19:28" x14ac:dyDescent="0.2">
      <c r="S78" s="692">
        <v>305</v>
      </c>
      <c r="T78" s="703">
        <v>61</v>
      </c>
      <c r="U78" s="692">
        <f>LARGE('JSM Eingabe+TW'!$DJ$32:$DU$62,S78)</f>
        <v>9.9999999999999995E-7</v>
      </c>
      <c r="V78" s="622">
        <f t="shared" si="0"/>
        <v>0</v>
      </c>
      <c r="W78" s="622">
        <f t="shared" si="1"/>
        <v>0</v>
      </c>
      <c r="X78" s="635">
        <f t="shared" si="2"/>
        <v>1.830000000000012E-4</v>
      </c>
      <c r="Y78" s="622">
        <f t="shared" si="3"/>
        <v>3.0500000000000199E-4</v>
      </c>
      <c r="AA78" s="622" t="str">
        <f>IF(U78&gt;'JSM Eingabe+TW'!$CU$92,'JSM Eingabe+TW'!$CU$92," ")</f>
        <v xml:space="preserve"> </v>
      </c>
      <c r="AB78" s="622">
        <f t="shared" si="4"/>
        <v>305</v>
      </c>
    </row>
    <row r="79" spans="19:28" x14ac:dyDescent="0.2">
      <c r="S79" s="692">
        <v>304</v>
      </c>
      <c r="T79" s="703">
        <v>62</v>
      </c>
      <c r="U79" s="692">
        <f>LARGE('JSM Eingabe+TW'!$DJ$32:$DU$62,S79)</f>
        <v>9.9999999999999995E-7</v>
      </c>
      <c r="V79" s="622">
        <f t="shared" si="0"/>
        <v>0</v>
      </c>
      <c r="W79" s="622">
        <f t="shared" si="1"/>
        <v>0</v>
      </c>
      <c r="X79" s="635">
        <f t="shared" si="2"/>
        <v>1.830000000000012E-4</v>
      </c>
      <c r="Y79" s="622">
        <f t="shared" si="3"/>
        <v>3.0400000000000197E-4</v>
      </c>
      <c r="Z79" s="622">
        <f>P$34</f>
        <v>0</v>
      </c>
      <c r="AA79" s="622" t="str">
        <f>IF(U79&gt;'JSM Eingabe+TW'!$CU$92,'JSM Eingabe+TW'!$CU$92," ")</f>
        <v xml:space="preserve"> </v>
      </c>
      <c r="AB79" s="622">
        <f t="shared" si="4"/>
        <v>304</v>
      </c>
    </row>
    <row r="80" spans="19:28" x14ac:dyDescent="0.2">
      <c r="S80" s="692">
        <v>303</v>
      </c>
      <c r="T80" s="703">
        <v>63</v>
      </c>
      <c r="U80" s="692">
        <f>LARGE('JSM Eingabe+TW'!$DJ$32:$DU$62,S80)</f>
        <v>9.9999999999999995E-7</v>
      </c>
      <c r="V80" s="622">
        <f t="shared" si="0"/>
        <v>0</v>
      </c>
      <c r="W80" s="622">
        <f t="shared" si="1"/>
        <v>0</v>
      </c>
      <c r="X80" s="635">
        <f t="shared" si="2"/>
        <v>1.830000000000012E-4</v>
      </c>
      <c r="Y80" s="622">
        <f t="shared" si="3"/>
        <v>3.03000000000002E-4</v>
      </c>
      <c r="AA80" s="622" t="str">
        <f>IF(U80&gt;'JSM Eingabe+TW'!$CU$92,'JSM Eingabe+TW'!$CU$92," ")</f>
        <v xml:space="preserve"> </v>
      </c>
      <c r="AB80" s="622">
        <f t="shared" si="4"/>
        <v>303</v>
      </c>
    </row>
    <row r="81" spans="19:28" x14ac:dyDescent="0.2">
      <c r="S81" s="692">
        <v>302</v>
      </c>
      <c r="T81" s="703">
        <v>64</v>
      </c>
      <c r="U81" s="692">
        <f>LARGE('JSM Eingabe+TW'!$DJ$32:$DU$62,S81)</f>
        <v>9.9999999999999995E-7</v>
      </c>
      <c r="V81" s="622">
        <f t="shared" si="0"/>
        <v>0</v>
      </c>
      <c r="W81" s="622">
        <f t="shared" si="1"/>
        <v>0</v>
      </c>
      <c r="X81" s="635">
        <f t="shared" si="2"/>
        <v>1.830000000000012E-4</v>
      </c>
      <c r="Y81" s="622">
        <f t="shared" si="3"/>
        <v>3.0200000000000197E-4</v>
      </c>
      <c r="AA81" s="622" t="str">
        <f>IF(U81&gt;'JSM Eingabe+TW'!$CU$92,'JSM Eingabe+TW'!$CU$92," ")</f>
        <v xml:space="preserve"> </v>
      </c>
      <c r="AB81" s="622">
        <f t="shared" si="4"/>
        <v>302</v>
      </c>
    </row>
    <row r="82" spans="19:28" x14ac:dyDescent="0.2">
      <c r="S82" s="692">
        <v>301</v>
      </c>
      <c r="T82" s="703">
        <v>65</v>
      </c>
      <c r="U82" s="692">
        <f>LARGE('JSM Eingabe+TW'!$DJ$32:$DU$62,S82)</f>
        <v>9.9999999999999995E-7</v>
      </c>
      <c r="V82" s="622">
        <f t="shared" ref="V82:V145" si="5">IF(T82=V$13,LARGE(U$18:U$382,1),0)</f>
        <v>0</v>
      </c>
      <c r="W82" s="622">
        <f t="shared" ref="W82:W145" si="6">IF(T82=W$13,LARGE(U$18:U$382,1),0)</f>
        <v>0</v>
      </c>
      <c r="X82" s="635">
        <f t="shared" ref="X82:X145" si="7">P$35</f>
        <v>1.830000000000012E-4</v>
      </c>
      <c r="Y82" s="622">
        <f t="shared" ref="Y82:Y145" si="8">IF(T82&lt;=$W$13,U82,((U$15-P$34)/(365-W$13)*AB82)+P$34)</f>
        <v>3.0100000000000195E-4</v>
      </c>
      <c r="AA82" s="622" t="str">
        <f>IF(U82&gt;'JSM Eingabe+TW'!$CU$92,'JSM Eingabe+TW'!$CU$92," ")</f>
        <v xml:space="preserve"> </v>
      </c>
      <c r="AB82" s="622">
        <f t="shared" si="4"/>
        <v>301</v>
      </c>
    </row>
    <row r="83" spans="19:28" x14ac:dyDescent="0.2">
      <c r="S83" s="692">
        <v>300</v>
      </c>
      <c r="T83" s="703">
        <v>66</v>
      </c>
      <c r="U83" s="692">
        <f>LARGE('JSM Eingabe+TW'!$DJ$32:$DU$62,S83)</f>
        <v>9.9999999999999995E-7</v>
      </c>
      <c r="V83" s="622">
        <f t="shared" si="5"/>
        <v>0</v>
      </c>
      <c r="W83" s="622">
        <f t="shared" si="6"/>
        <v>0</v>
      </c>
      <c r="X83" s="635">
        <f t="shared" si="7"/>
        <v>1.830000000000012E-4</v>
      </c>
      <c r="Y83" s="622">
        <f t="shared" si="8"/>
        <v>3.0000000000000198E-4</v>
      </c>
      <c r="AA83" s="622" t="str">
        <f>IF(U83&gt;'JSM Eingabe+TW'!$CU$92,'JSM Eingabe+TW'!$CU$92," ")</f>
        <v xml:space="preserve"> </v>
      </c>
      <c r="AB83" s="622">
        <f t="shared" ref="AB83:AB146" si="9">IF(T83&lt;=W$13,0,S83)</f>
        <v>300</v>
      </c>
    </row>
    <row r="84" spans="19:28" x14ac:dyDescent="0.2">
      <c r="S84" s="692">
        <v>299</v>
      </c>
      <c r="T84" s="703">
        <v>67</v>
      </c>
      <c r="U84" s="692">
        <f>LARGE('JSM Eingabe+TW'!$DJ$32:$DU$62,S84)</f>
        <v>9.9999999999999995E-7</v>
      </c>
      <c r="V84" s="622">
        <f t="shared" si="5"/>
        <v>0</v>
      </c>
      <c r="W84" s="622">
        <f t="shared" si="6"/>
        <v>0</v>
      </c>
      <c r="X84" s="635">
        <f t="shared" si="7"/>
        <v>1.830000000000012E-4</v>
      </c>
      <c r="Y84" s="622">
        <f t="shared" si="8"/>
        <v>2.9900000000000196E-4</v>
      </c>
      <c r="Z84" s="622">
        <f>P$34</f>
        <v>0</v>
      </c>
      <c r="AA84" s="622" t="str">
        <f>IF(U84&gt;'JSM Eingabe+TW'!$CU$92,'JSM Eingabe+TW'!$CU$92," ")</f>
        <v xml:space="preserve"> </v>
      </c>
      <c r="AB84" s="622">
        <f t="shared" si="9"/>
        <v>299</v>
      </c>
    </row>
    <row r="85" spans="19:28" x14ac:dyDescent="0.2">
      <c r="S85" s="692">
        <v>298</v>
      </c>
      <c r="T85" s="703">
        <v>68</v>
      </c>
      <c r="U85" s="692">
        <f>LARGE('JSM Eingabe+TW'!$DJ$32:$DU$62,S85)</f>
        <v>9.9999999999999995E-7</v>
      </c>
      <c r="V85" s="622">
        <f t="shared" si="5"/>
        <v>0</v>
      </c>
      <c r="W85" s="622">
        <f t="shared" si="6"/>
        <v>0</v>
      </c>
      <c r="X85" s="635">
        <f t="shared" si="7"/>
        <v>1.830000000000012E-4</v>
      </c>
      <c r="Y85" s="622">
        <f t="shared" si="8"/>
        <v>2.9800000000000193E-4</v>
      </c>
      <c r="AA85" s="622" t="str">
        <f>IF(U85&gt;'JSM Eingabe+TW'!$CU$92,'JSM Eingabe+TW'!$CU$92," ")</f>
        <v xml:space="preserve"> </v>
      </c>
      <c r="AB85" s="622">
        <f t="shared" si="9"/>
        <v>298</v>
      </c>
    </row>
    <row r="86" spans="19:28" x14ac:dyDescent="0.2">
      <c r="S86" s="692">
        <v>297</v>
      </c>
      <c r="T86" s="703">
        <v>69</v>
      </c>
      <c r="U86" s="692">
        <f>LARGE('JSM Eingabe+TW'!$DJ$32:$DU$62,S86)</f>
        <v>9.9999999999999995E-7</v>
      </c>
      <c r="V86" s="622">
        <f t="shared" si="5"/>
        <v>0</v>
      </c>
      <c r="W86" s="622">
        <f t="shared" si="6"/>
        <v>0</v>
      </c>
      <c r="X86" s="635">
        <f t="shared" si="7"/>
        <v>1.830000000000012E-4</v>
      </c>
      <c r="Y86" s="622">
        <f t="shared" si="8"/>
        <v>2.9700000000000196E-4</v>
      </c>
      <c r="AA86" s="622" t="str">
        <f>IF(U86&gt;'JSM Eingabe+TW'!$CU$92,'JSM Eingabe+TW'!$CU$92," ")</f>
        <v xml:space="preserve"> </v>
      </c>
      <c r="AB86" s="622">
        <f t="shared" si="9"/>
        <v>297</v>
      </c>
    </row>
    <row r="87" spans="19:28" x14ac:dyDescent="0.2">
      <c r="S87" s="692">
        <v>296</v>
      </c>
      <c r="T87" s="703">
        <v>70</v>
      </c>
      <c r="U87" s="692">
        <f>LARGE('JSM Eingabe+TW'!$DJ$32:$DU$62,S87)</f>
        <v>9.9999999999999995E-7</v>
      </c>
      <c r="V87" s="622">
        <f t="shared" si="5"/>
        <v>0</v>
      </c>
      <c r="W87" s="622">
        <f t="shared" si="6"/>
        <v>0</v>
      </c>
      <c r="X87" s="635">
        <f t="shared" si="7"/>
        <v>1.830000000000012E-4</v>
      </c>
      <c r="Y87" s="622">
        <f t="shared" si="8"/>
        <v>2.9600000000000194E-4</v>
      </c>
      <c r="AA87" s="622" t="str">
        <f>IF(U87&gt;'JSM Eingabe+TW'!$CU$92,'JSM Eingabe+TW'!$CU$92," ")</f>
        <v xml:space="preserve"> </v>
      </c>
      <c r="AB87" s="622">
        <f t="shared" si="9"/>
        <v>296</v>
      </c>
    </row>
    <row r="88" spans="19:28" x14ac:dyDescent="0.2">
      <c r="S88" s="692">
        <v>295</v>
      </c>
      <c r="T88" s="703">
        <v>71</v>
      </c>
      <c r="U88" s="692">
        <f>LARGE('JSM Eingabe+TW'!$DJ$32:$DU$62,S88)</f>
        <v>9.9999999999999995E-7</v>
      </c>
      <c r="V88" s="622">
        <f t="shared" si="5"/>
        <v>0</v>
      </c>
      <c r="W88" s="622">
        <f t="shared" si="6"/>
        <v>0</v>
      </c>
      <c r="X88" s="635">
        <f t="shared" si="7"/>
        <v>1.830000000000012E-4</v>
      </c>
      <c r="Y88" s="622">
        <f t="shared" si="8"/>
        <v>2.9500000000000191E-4</v>
      </c>
      <c r="AA88" s="622" t="str">
        <f>IF(U88&gt;'JSM Eingabe+TW'!$CU$92,'JSM Eingabe+TW'!$CU$92," ")</f>
        <v xml:space="preserve"> </v>
      </c>
      <c r="AB88" s="622">
        <f t="shared" si="9"/>
        <v>295</v>
      </c>
    </row>
    <row r="89" spans="19:28" x14ac:dyDescent="0.2">
      <c r="S89" s="692">
        <v>294</v>
      </c>
      <c r="T89" s="703">
        <v>72</v>
      </c>
      <c r="U89" s="692">
        <f>LARGE('JSM Eingabe+TW'!$DJ$32:$DU$62,S89)</f>
        <v>9.9999999999999995E-7</v>
      </c>
      <c r="V89" s="622">
        <f t="shared" si="5"/>
        <v>0</v>
      </c>
      <c r="W89" s="622">
        <f t="shared" si="6"/>
        <v>0</v>
      </c>
      <c r="X89" s="635">
        <f t="shared" si="7"/>
        <v>1.830000000000012E-4</v>
      </c>
      <c r="Y89" s="622">
        <f t="shared" si="8"/>
        <v>2.9400000000000194E-4</v>
      </c>
      <c r="Z89" s="622">
        <f>P$34</f>
        <v>0</v>
      </c>
      <c r="AA89" s="622" t="str">
        <f>IF(U89&gt;'JSM Eingabe+TW'!$CU$92,'JSM Eingabe+TW'!$CU$92," ")</f>
        <v xml:space="preserve"> </v>
      </c>
      <c r="AB89" s="622">
        <f t="shared" si="9"/>
        <v>294</v>
      </c>
    </row>
    <row r="90" spans="19:28" x14ac:dyDescent="0.2">
      <c r="S90" s="692">
        <v>293</v>
      </c>
      <c r="T90" s="703">
        <v>73</v>
      </c>
      <c r="U90" s="692">
        <f>LARGE('JSM Eingabe+TW'!$DJ$32:$DU$62,S90)</f>
        <v>9.9999999999999995E-7</v>
      </c>
      <c r="V90" s="622">
        <f t="shared" si="5"/>
        <v>0</v>
      </c>
      <c r="W90" s="622">
        <f t="shared" si="6"/>
        <v>0</v>
      </c>
      <c r="X90" s="635">
        <f t="shared" si="7"/>
        <v>1.830000000000012E-4</v>
      </c>
      <c r="Y90" s="622">
        <f t="shared" si="8"/>
        <v>2.9300000000000192E-4</v>
      </c>
      <c r="AA90" s="622" t="str">
        <f>IF(U90&gt;'JSM Eingabe+TW'!$CU$92,'JSM Eingabe+TW'!$CU$92," ")</f>
        <v xml:space="preserve"> </v>
      </c>
      <c r="AB90" s="622">
        <f t="shared" si="9"/>
        <v>293</v>
      </c>
    </row>
    <row r="91" spans="19:28" x14ac:dyDescent="0.2">
      <c r="S91" s="692">
        <v>292</v>
      </c>
      <c r="T91" s="703">
        <v>74</v>
      </c>
      <c r="U91" s="692">
        <f>LARGE('JSM Eingabe+TW'!$DJ$32:$DU$62,S91)</f>
        <v>9.9999999999999995E-7</v>
      </c>
      <c r="V91" s="622">
        <f t="shared" si="5"/>
        <v>0</v>
      </c>
      <c r="W91" s="622">
        <f t="shared" si="6"/>
        <v>0</v>
      </c>
      <c r="X91" s="635">
        <f t="shared" si="7"/>
        <v>1.830000000000012E-4</v>
      </c>
      <c r="Y91" s="622">
        <f t="shared" si="8"/>
        <v>2.9200000000000189E-4</v>
      </c>
      <c r="AA91" s="622" t="str">
        <f>IF(U91&gt;'JSM Eingabe+TW'!$CU$92,'JSM Eingabe+TW'!$CU$92," ")</f>
        <v xml:space="preserve"> </v>
      </c>
      <c r="AB91" s="622">
        <f t="shared" si="9"/>
        <v>292</v>
      </c>
    </row>
    <row r="92" spans="19:28" x14ac:dyDescent="0.2">
      <c r="S92" s="692">
        <v>291</v>
      </c>
      <c r="T92" s="703">
        <v>75</v>
      </c>
      <c r="U92" s="692">
        <f>LARGE('JSM Eingabe+TW'!$DJ$32:$DU$62,S92)</f>
        <v>9.9999999999999995E-7</v>
      </c>
      <c r="V92" s="622">
        <f t="shared" si="5"/>
        <v>0</v>
      </c>
      <c r="W92" s="622">
        <f t="shared" si="6"/>
        <v>0</v>
      </c>
      <c r="X92" s="635">
        <f t="shared" si="7"/>
        <v>1.830000000000012E-4</v>
      </c>
      <c r="Y92" s="622">
        <f t="shared" si="8"/>
        <v>2.9100000000000192E-4</v>
      </c>
      <c r="AA92" s="622" t="str">
        <f>IF(U92&gt;'JSM Eingabe+TW'!$CU$92,'JSM Eingabe+TW'!$CU$92," ")</f>
        <v xml:space="preserve"> </v>
      </c>
      <c r="AB92" s="622">
        <f t="shared" si="9"/>
        <v>291</v>
      </c>
    </row>
    <row r="93" spans="19:28" x14ac:dyDescent="0.2">
      <c r="S93" s="692">
        <v>290</v>
      </c>
      <c r="T93" s="703">
        <v>76</v>
      </c>
      <c r="U93" s="692">
        <f>LARGE('JSM Eingabe+TW'!$DJ$32:$DU$62,S93)</f>
        <v>9.9999999999999995E-7</v>
      </c>
      <c r="V93" s="622">
        <f t="shared" si="5"/>
        <v>0</v>
      </c>
      <c r="W93" s="622">
        <f t="shared" si="6"/>
        <v>0</v>
      </c>
      <c r="X93" s="635">
        <f t="shared" si="7"/>
        <v>1.830000000000012E-4</v>
      </c>
      <c r="Y93" s="622">
        <f t="shared" si="8"/>
        <v>2.900000000000019E-4</v>
      </c>
      <c r="AA93" s="622" t="str">
        <f>IF(U93&gt;'JSM Eingabe+TW'!$CU$92,'JSM Eingabe+TW'!$CU$92," ")</f>
        <v xml:space="preserve"> </v>
      </c>
      <c r="AB93" s="622">
        <f t="shared" si="9"/>
        <v>290</v>
      </c>
    </row>
    <row r="94" spans="19:28" x14ac:dyDescent="0.2">
      <c r="S94" s="692">
        <v>289</v>
      </c>
      <c r="T94" s="703">
        <v>77</v>
      </c>
      <c r="U94" s="692">
        <f>LARGE('JSM Eingabe+TW'!$DJ$32:$DU$62,S94)</f>
        <v>9.9999999999999995E-7</v>
      </c>
      <c r="V94" s="622">
        <f t="shared" si="5"/>
        <v>0</v>
      </c>
      <c r="W94" s="622">
        <f t="shared" si="6"/>
        <v>0</v>
      </c>
      <c r="X94" s="635">
        <f t="shared" si="7"/>
        <v>1.830000000000012E-4</v>
      </c>
      <c r="Y94" s="622">
        <f t="shared" si="8"/>
        <v>2.8900000000000187E-4</v>
      </c>
      <c r="Z94" s="622">
        <f>P$34</f>
        <v>0</v>
      </c>
      <c r="AA94" s="622" t="str">
        <f>IF(U94&gt;'JSM Eingabe+TW'!$CU$92,'JSM Eingabe+TW'!$CU$92," ")</f>
        <v xml:space="preserve"> </v>
      </c>
      <c r="AB94" s="622">
        <f t="shared" si="9"/>
        <v>289</v>
      </c>
    </row>
    <row r="95" spans="19:28" x14ac:dyDescent="0.2">
      <c r="S95" s="692">
        <v>288</v>
      </c>
      <c r="T95" s="703">
        <v>78</v>
      </c>
      <c r="U95" s="692">
        <f>LARGE('JSM Eingabe+TW'!$DJ$32:$DU$62,S95)</f>
        <v>9.9999999999999995E-7</v>
      </c>
      <c r="V95" s="622">
        <f t="shared" si="5"/>
        <v>0</v>
      </c>
      <c r="W95" s="622">
        <f t="shared" si="6"/>
        <v>0</v>
      </c>
      <c r="X95" s="635">
        <f t="shared" si="7"/>
        <v>1.830000000000012E-4</v>
      </c>
      <c r="Y95" s="622">
        <f t="shared" si="8"/>
        <v>2.880000000000019E-4</v>
      </c>
      <c r="AA95" s="622" t="str">
        <f>IF(U95&gt;'JSM Eingabe+TW'!$CU$92,'JSM Eingabe+TW'!$CU$92," ")</f>
        <v xml:space="preserve"> </v>
      </c>
      <c r="AB95" s="622">
        <f t="shared" si="9"/>
        <v>288</v>
      </c>
    </row>
    <row r="96" spans="19:28" x14ac:dyDescent="0.2">
      <c r="S96" s="692">
        <v>287</v>
      </c>
      <c r="T96" s="703">
        <v>79</v>
      </c>
      <c r="U96" s="692">
        <f>LARGE('JSM Eingabe+TW'!$DJ$32:$DU$62,S96)</f>
        <v>9.9999999999999995E-7</v>
      </c>
      <c r="V96" s="622">
        <f t="shared" si="5"/>
        <v>0</v>
      </c>
      <c r="W96" s="622">
        <f t="shared" si="6"/>
        <v>0</v>
      </c>
      <c r="X96" s="635">
        <f t="shared" si="7"/>
        <v>1.830000000000012E-4</v>
      </c>
      <c r="Y96" s="622">
        <f t="shared" si="8"/>
        <v>2.8700000000000188E-4</v>
      </c>
      <c r="AA96" s="622" t="str">
        <f>IF(U96&gt;'JSM Eingabe+TW'!$CU$92,'JSM Eingabe+TW'!$CU$92," ")</f>
        <v xml:space="preserve"> </v>
      </c>
      <c r="AB96" s="622">
        <f t="shared" si="9"/>
        <v>287</v>
      </c>
    </row>
    <row r="97" spans="19:28" x14ac:dyDescent="0.2">
      <c r="S97" s="692">
        <v>286</v>
      </c>
      <c r="T97" s="703">
        <v>80</v>
      </c>
      <c r="U97" s="692">
        <f>LARGE('JSM Eingabe+TW'!$DJ$32:$DU$62,S97)</f>
        <v>9.9999999999999995E-7</v>
      </c>
      <c r="V97" s="622">
        <f t="shared" si="5"/>
        <v>0</v>
      </c>
      <c r="W97" s="622">
        <f t="shared" si="6"/>
        <v>0</v>
      </c>
      <c r="X97" s="635">
        <f t="shared" si="7"/>
        <v>1.830000000000012E-4</v>
      </c>
      <c r="Y97" s="622">
        <f t="shared" si="8"/>
        <v>2.8600000000000186E-4</v>
      </c>
      <c r="AA97" s="622" t="str">
        <f>IF(U97&gt;'JSM Eingabe+TW'!$CU$92,'JSM Eingabe+TW'!$CU$92," ")</f>
        <v xml:space="preserve"> </v>
      </c>
      <c r="AB97" s="622">
        <f t="shared" si="9"/>
        <v>286</v>
      </c>
    </row>
    <row r="98" spans="19:28" x14ac:dyDescent="0.2">
      <c r="S98" s="692">
        <v>285</v>
      </c>
      <c r="T98" s="703">
        <v>81</v>
      </c>
      <c r="U98" s="692">
        <f>LARGE('JSM Eingabe+TW'!$DJ$32:$DU$62,S98)</f>
        <v>9.9999999999999995E-7</v>
      </c>
      <c r="V98" s="622">
        <f t="shared" si="5"/>
        <v>0</v>
      </c>
      <c r="W98" s="622">
        <f t="shared" si="6"/>
        <v>0</v>
      </c>
      <c r="X98" s="635">
        <f t="shared" si="7"/>
        <v>1.830000000000012E-4</v>
      </c>
      <c r="Y98" s="622">
        <f t="shared" si="8"/>
        <v>2.8500000000000183E-4</v>
      </c>
      <c r="AA98" s="622" t="str">
        <f>IF(U98&gt;'JSM Eingabe+TW'!$CU$92,'JSM Eingabe+TW'!$CU$92," ")</f>
        <v xml:space="preserve"> </v>
      </c>
      <c r="AB98" s="622">
        <f t="shared" si="9"/>
        <v>285</v>
      </c>
    </row>
    <row r="99" spans="19:28" x14ac:dyDescent="0.2">
      <c r="S99" s="692">
        <v>284</v>
      </c>
      <c r="T99" s="703">
        <v>82</v>
      </c>
      <c r="U99" s="692">
        <f>LARGE('JSM Eingabe+TW'!$DJ$32:$DU$62,S99)</f>
        <v>9.9999999999999995E-7</v>
      </c>
      <c r="V99" s="622">
        <f t="shared" si="5"/>
        <v>0</v>
      </c>
      <c r="W99" s="622">
        <f t="shared" si="6"/>
        <v>0</v>
      </c>
      <c r="X99" s="635">
        <f t="shared" si="7"/>
        <v>1.830000000000012E-4</v>
      </c>
      <c r="Y99" s="622">
        <f t="shared" si="8"/>
        <v>2.8400000000000186E-4</v>
      </c>
      <c r="Z99" s="622">
        <f>P$34</f>
        <v>0</v>
      </c>
      <c r="AA99" s="622" t="str">
        <f>IF(U99&gt;'JSM Eingabe+TW'!$CU$92,'JSM Eingabe+TW'!$CU$92," ")</f>
        <v xml:space="preserve"> </v>
      </c>
      <c r="AB99" s="622">
        <f t="shared" si="9"/>
        <v>284</v>
      </c>
    </row>
    <row r="100" spans="19:28" x14ac:dyDescent="0.2">
      <c r="S100" s="692">
        <v>283</v>
      </c>
      <c r="T100" s="703">
        <v>83</v>
      </c>
      <c r="U100" s="692">
        <f>LARGE('JSM Eingabe+TW'!$DJ$32:$DU$62,S100)</f>
        <v>9.9999999999999995E-7</v>
      </c>
      <c r="V100" s="622">
        <f t="shared" si="5"/>
        <v>0</v>
      </c>
      <c r="W100" s="622">
        <f t="shared" si="6"/>
        <v>0</v>
      </c>
      <c r="X100" s="635">
        <f t="shared" si="7"/>
        <v>1.830000000000012E-4</v>
      </c>
      <c r="Y100" s="622">
        <f t="shared" si="8"/>
        <v>2.8300000000000184E-4</v>
      </c>
      <c r="AA100" s="622" t="str">
        <f>IF(U100&gt;'JSM Eingabe+TW'!$CU$92,'JSM Eingabe+TW'!$CU$92," ")</f>
        <v xml:space="preserve"> </v>
      </c>
      <c r="AB100" s="622">
        <f t="shared" si="9"/>
        <v>283</v>
      </c>
    </row>
    <row r="101" spans="19:28" x14ac:dyDescent="0.2">
      <c r="S101" s="692">
        <v>282</v>
      </c>
      <c r="T101" s="703">
        <v>84</v>
      </c>
      <c r="U101" s="692">
        <f>LARGE('JSM Eingabe+TW'!$DJ$32:$DU$62,S101)</f>
        <v>9.9999999999999995E-7</v>
      </c>
      <c r="V101" s="622">
        <f t="shared" si="5"/>
        <v>0</v>
      </c>
      <c r="W101" s="622">
        <f t="shared" si="6"/>
        <v>0</v>
      </c>
      <c r="X101" s="635">
        <f t="shared" si="7"/>
        <v>1.830000000000012E-4</v>
      </c>
      <c r="Y101" s="622">
        <f t="shared" si="8"/>
        <v>2.8200000000000181E-4</v>
      </c>
      <c r="AA101" s="622" t="str">
        <f>IF(U101&gt;'JSM Eingabe+TW'!$CU$92,'JSM Eingabe+TW'!$CU$92," ")</f>
        <v xml:space="preserve"> </v>
      </c>
      <c r="AB101" s="622">
        <f t="shared" si="9"/>
        <v>282</v>
      </c>
    </row>
    <row r="102" spans="19:28" x14ac:dyDescent="0.2">
      <c r="S102" s="692">
        <v>281</v>
      </c>
      <c r="T102" s="703">
        <v>85</v>
      </c>
      <c r="U102" s="692">
        <f>LARGE('JSM Eingabe+TW'!$DJ$32:$DU$62,S102)</f>
        <v>9.9999999999999995E-7</v>
      </c>
      <c r="V102" s="622">
        <f t="shared" si="5"/>
        <v>0</v>
      </c>
      <c r="W102" s="622">
        <f t="shared" si="6"/>
        <v>0</v>
      </c>
      <c r="X102" s="635">
        <f t="shared" si="7"/>
        <v>1.830000000000012E-4</v>
      </c>
      <c r="Y102" s="622">
        <f t="shared" si="8"/>
        <v>2.8100000000000184E-4</v>
      </c>
      <c r="AA102" s="622" t="str">
        <f>IF(U102&gt;'JSM Eingabe+TW'!$CU$92,'JSM Eingabe+TW'!$CU$92," ")</f>
        <v xml:space="preserve"> </v>
      </c>
      <c r="AB102" s="622">
        <f t="shared" si="9"/>
        <v>281</v>
      </c>
    </row>
    <row r="103" spans="19:28" x14ac:dyDescent="0.2">
      <c r="S103" s="692">
        <v>280</v>
      </c>
      <c r="T103" s="703">
        <v>86</v>
      </c>
      <c r="U103" s="692">
        <f>LARGE('JSM Eingabe+TW'!$DJ$32:$DU$62,S103)</f>
        <v>9.9999999999999995E-7</v>
      </c>
      <c r="V103" s="622">
        <f t="shared" si="5"/>
        <v>0</v>
      </c>
      <c r="W103" s="622">
        <f t="shared" si="6"/>
        <v>0</v>
      </c>
      <c r="X103" s="635">
        <f t="shared" si="7"/>
        <v>1.830000000000012E-4</v>
      </c>
      <c r="Y103" s="622">
        <f t="shared" si="8"/>
        <v>2.8000000000000182E-4</v>
      </c>
      <c r="AA103" s="622" t="str">
        <f>IF(U103&gt;'JSM Eingabe+TW'!$CU$92,'JSM Eingabe+TW'!$CU$92," ")</f>
        <v xml:space="preserve"> </v>
      </c>
      <c r="AB103" s="622">
        <f t="shared" si="9"/>
        <v>280</v>
      </c>
    </row>
    <row r="104" spans="19:28" x14ac:dyDescent="0.2">
      <c r="S104" s="692">
        <v>279</v>
      </c>
      <c r="T104" s="703">
        <v>87</v>
      </c>
      <c r="U104" s="692">
        <f>LARGE('JSM Eingabe+TW'!$DJ$32:$DU$62,S104)</f>
        <v>9.9999999999999995E-7</v>
      </c>
      <c r="V104" s="622">
        <f t="shared" si="5"/>
        <v>0</v>
      </c>
      <c r="W104" s="622">
        <f t="shared" si="6"/>
        <v>0</v>
      </c>
      <c r="X104" s="635">
        <f t="shared" si="7"/>
        <v>1.830000000000012E-4</v>
      </c>
      <c r="Y104" s="622">
        <f t="shared" si="8"/>
        <v>2.7900000000000179E-4</v>
      </c>
      <c r="Z104" s="622">
        <f>P$34</f>
        <v>0</v>
      </c>
      <c r="AA104" s="622" t="str">
        <f>IF(U104&gt;'JSM Eingabe+TW'!$CU$92,'JSM Eingabe+TW'!$CU$92," ")</f>
        <v xml:space="preserve"> </v>
      </c>
      <c r="AB104" s="622">
        <f t="shared" si="9"/>
        <v>279</v>
      </c>
    </row>
    <row r="105" spans="19:28" x14ac:dyDescent="0.2">
      <c r="S105" s="692">
        <v>278</v>
      </c>
      <c r="T105" s="703">
        <v>88</v>
      </c>
      <c r="U105" s="692">
        <f>LARGE('JSM Eingabe+TW'!$DJ$32:$DU$62,S105)</f>
        <v>9.9999999999999995E-7</v>
      </c>
      <c r="V105" s="622">
        <f t="shared" si="5"/>
        <v>0</v>
      </c>
      <c r="W105" s="622">
        <f t="shared" si="6"/>
        <v>0</v>
      </c>
      <c r="X105" s="635">
        <f t="shared" si="7"/>
        <v>1.830000000000012E-4</v>
      </c>
      <c r="Y105" s="622">
        <f t="shared" si="8"/>
        <v>2.7800000000000182E-4</v>
      </c>
      <c r="AA105" s="622" t="str">
        <f>IF(U105&gt;'JSM Eingabe+TW'!$CU$92,'JSM Eingabe+TW'!$CU$92," ")</f>
        <v xml:space="preserve"> </v>
      </c>
      <c r="AB105" s="622">
        <f t="shared" si="9"/>
        <v>278</v>
      </c>
    </row>
    <row r="106" spans="19:28" x14ac:dyDescent="0.2">
      <c r="S106" s="692">
        <v>277</v>
      </c>
      <c r="T106" s="703">
        <v>89</v>
      </c>
      <c r="U106" s="692">
        <f>LARGE('JSM Eingabe+TW'!$DJ$32:$DU$62,S106)</f>
        <v>9.9999999999999995E-7</v>
      </c>
      <c r="V106" s="622">
        <f t="shared" si="5"/>
        <v>0</v>
      </c>
      <c r="W106" s="622">
        <f t="shared" si="6"/>
        <v>0</v>
      </c>
      <c r="X106" s="635">
        <f t="shared" si="7"/>
        <v>1.830000000000012E-4</v>
      </c>
      <c r="Y106" s="622">
        <f t="shared" si="8"/>
        <v>2.770000000000018E-4</v>
      </c>
      <c r="AA106" s="622" t="str">
        <f>IF(U106&gt;'JSM Eingabe+TW'!$CU$92,'JSM Eingabe+TW'!$CU$92," ")</f>
        <v xml:space="preserve"> </v>
      </c>
      <c r="AB106" s="622">
        <f t="shared" si="9"/>
        <v>277</v>
      </c>
    </row>
    <row r="107" spans="19:28" x14ac:dyDescent="0.2">
      <c r="S107" s="692">
        <v>276</v>
      </c>
      <c r="T107" s="703">
        <v>90</v>
      </c>
      <c r="U107" s="692">
        <f>LARGE('JSM Eingabe+TW'!$DJ$32:$DU$62,S107)</f>
        <v>9.9999999999999995E-7</v>
      </c>
      <c r="V107" s="622">
        <f t="shared" si="5"/>
        <v>0</v>
      </c>
      <c r="W107" s="622">
        <f t="shared" si="6"/>
        <v>0</v>
      </c>
      <c r="X107" s="635">
        <f t="shared" si="7"/>
        <v>1.830000000000012E-4</v>
      </c>
      <c r="Y107" s="622">
        <f t="shared" si="8"/>
        <v>2.7600000000000178E-4</v>
      </c>
      <c r="AA107" s="622" t="str">
        <f>IF(U107&gt;'JSM Eingabe+TW'!$CU$92,'JSM Eingabe+TW'!$CU$92," ")</f>
        <v xml:space="preserve"> </v>
      </c>
      <c r="AB107" s="622">
        <f t="shared" si="9"/>
        <v>276</v>
      </c>
    </row>
    <row r="108" spans="19:28" x14ac:dyDescent="0.2">
      <c r="S108" s="692">
        <v>275</v>
      </c>
      <c r="T108" s="703">
        <v>91</v>
      </c>
      <c r="U108" s="692">
        <f>LARGE('JSM Eingabe+TW'!$DJ$32:$DU$62,S108)</f>
        <v>9.9999999999999995E-7</v>
      </c>
      <c r="V108" s="622">
        <f t="shared" si="5"/>
        <v>0</v>
      </c>
      <c r="W108" s="622">
        <f t="shared" si="6"/>
        <v>0</v>
      </c>
      <c r="X108" s="635">
        <f t="shared" si="7"/>
        <v>1.830000000000012E-4</v>
      </c>
      <c r="Y108" s="622">
        <f t="shared" si="8"/>
        <v>2.7500000000000181E-4</v>
      </c>
      <c r="AA108" s="622" t="str">
        <f>IF(U108&gt;'JSM Eingabe+TW'!$CU$92,'JSM Eingabe+TW'!$CU$92," ")</f>
        <v xml:space="preserve"> </v>
      </c>
      <c r="AB108" s="622">
        <f t="shared" si="9"/>
        <v>275</v>
      </c>
    </row>
    <row r="109" spans="19:28" x14ac:dyDescent="0.2">
      <c r="S109" s="692">
        <v>274</v>
      </c>
      <c r="T109" s="703">
        <v>92</v>
      </c>
      <c r="U109" s="692">
        <f>LARGE('JSM Eingabe+TW'!$DJ$32:$DU$62,S109)</f>
        <v>9.9999999999999995E-7</v>
      </c>
      <c r="V109" s="622">
        <f t="shared" si="5"/>
        <v>0</v>
      </c>
      <c r="W109" s="622">
        <f t="shared" si="6"/>
        <v>0</v>
      </c>
      <c r="X109" s="635">
        <f t="shared" si="7"/>
        <v>1.830000000000012E-4</v>
      </c>
      <c r="Y109" s="622">
        <f t="shared" si="8"/>
        <v>2.7400000000000178E-4</v>
      </c>
      <c r="Z109" s="622">
        <f>P$34</f>
        <v>0</v>
      </c>
      <c r="AA109" s="622" t="str">
        <f>IF(U109&gt;'JSM Eingabe+TW'!$CU$92,'JSM Eingabe+TW'!$CU$92," ")</f>
        <v xml:space="preserve"> </v>
      </c>
      <c r="AB109" s="622">
        <f t="shared" si="9"/>
        <v>274</v>
      </c>
    </row>
    <row r="110" spans="19:28" x14ac:dyDescent="0.2">
      <c r="S110" s="692">
        <v>273</v>
      </c>
      <c r="T110" s="703">
        <v>93</v>
      </c>
      <c r="U110" s="692">
        <f>LARGE('JSM Eingabe+TW'!$DJ$32:$DU$62,S110)</f>
        <v>9.9999999999999995E-7</v>
      </c>
      <c r="V110" s="622">
        <f t="shared" si="5"/>
        <v>0</v>
      </c>
      <c r="W110" s="622">
        <f t="shared" si="6"/>
        <v>0</v>
      </c>
      <c r="X110" s="635">
        <f t="shared" si="7"/>
        <v>1.830000000000012E-4</v>
      </c>
      <c r="Y110" s="622">
        <f t="shared" si="8"/>
        <v>2.7300000000000176E-4</v>
      </c>
      <c r="AA110" s="622" t="str">
        <f>IF(U110&gt;'JSM Eingabe+TW'!$CU$92,'JSM Eingabe+TW'!$CU$92," ")</f>
        <v xml:space="preserve"> </v>
      </c>
      <c r="AB110" s="622">
        <f t="shared" si="9"/>
        <v>273</v>
      </c>
    </row>
    <row r="111" spans="19:28" x14ac:dyDescent="0.2">
      <c r="S111" s="692">
        <v>272</v>
      </c>
      <c r="T111" s="703">
        <v>94</v>
      </c>
      <c r="U111" s="692">
        <f>LARGE('JSM Eingabe+TW'!$DJ$32:$DU$62,S111)</f>
        <v>9.9999999999999995E-7</v>
      </c>
      <c r="V111" s="622">
        <f t="shared" si="5"/>
        <v>0</v>
      </c>
      <c r="W111" s="622">
        <f t="shared" si="6"/>
        <v>0</v>
      </c>
      <c r="X111" s="635">
        <f t="shared" si="7"/>
        <v>1.830000000000012E-4</v>
      </c>
      <c r="Y111" s="622">
        <f t="shared" si="8"/>
        <v>2.7200000000000179E-4</v>
      </c>
      <c r="AA111" s="622" t="str">
        <f>IF(U111&gt;'JSM Eingabe+TW'!$CU$92,'JSM Eingabe+TW'!$CU$92," ")</f>
        <v xml:space="preserve"> </v>
      </c>
      <c r="AB111" s="622">
        <f t="shared" si="9"/>
        <v>272</v>
      </c>
    </row>
    <row r="112" spans="19:28" x14ac:dyDescent="0.2">
      <c r="S112" s="692">
        <v>271</v>
      </c>
      <c r="T112" s="703">
        <v>95</v>
      </c>
      <c r="U112" s="692">
        <f>LARGE('JSM Eingabe+TW'!$DJ$32:$DU$62,S112)</f>
        <v>9.9999999999999995E-7</v>
      </c>
      <c r="V112" s="622">
        <f t="shared" si="5"/>
        <v>0</v>
      </c>
      <c r="W112" s="622">
        <f t="shared" si="6"/>
        <v>0</v>
      </c>
      <c r="X112" s="635">
        <f t="shared" si="7"/>
        <v>1.830000000000012E-4</v>
      </c>
      <c r="Y112" s="622">
        <f t="shared" si="8"/>
        <v>2.7100000000000176E-4</v>
      </c>
      <c r="AA112" s="622" t="str">
        <f>IF(U112&gt;'JSM Eingabe+TW'!$CU$92,'JSM Eingabe+TW'!$CU$92," ")</f>
        <v xml:space="preserve"> </v>
      </c>
      <c r="AB112" s="622">
        <f t="shared" si="9"/>
        <v>271</v>
      </c>
    </row>
    <row r="113" spans="19:28" x14ac:dyDescent="0.2">
      <c r="S113" s="692">
        <v>270</v>
      </c>
      <c r="T113" s="703">
        <v>96</v>
      </c>
      <c r="U113" s="692">
        <f>LARGE('JSM Eingabe+TW'!$DJ$32:$DU$62,S113)</f>
        <v>9.9999999999999995E-7</v>
      </c>
      <c r="V113" s="622">
        <f t="shared" si="5"/>
        <v>0</v>
      </c>
      <c r="W113" s="622">
        <f t="shared" si="6"/>
        <v>0</v>
      </c>
      <c r="X113" s="635">
        <f t="shared" si="7"/>
        <v>1.830000000000012E-4</v>
      </c>
      <c r="Y113" s="622">
        <f t="shared" si="8"/>
        <v>2.7000000000000174E-4</v>
      </c>
      <c r="AA113" s="622" t="str">
        <f>IF(U113&gt;'JSM Eingabe+TW'!$CU$92,'JSM Eingabe+TW'!$CU$92," ")</f>
        <v xml:space="preserve"> </v>
      </c>
      <c r="AB113" s="622">
        <f t="shared" si="9"/>
        <v>270</v>
      </c>
    </row>
    <row r="114" spans="19:28" x14ac:dyDescent="0.2">
      <c r="S114" s="692">
        <v>269</v>
      </c>
      <c r="T114" s="703">
        <v>97</v>
      </c>
      <c r="U114" s="692">
        <f>LARGE('JSM Eingabe+TW'!$DJ$32:$DU$62,S114)</f>
        <v>9.9999999999999995E-7</v>
      </c>
      <c r="V114" s="622">
        <f t="shared" si="5"/>
        <v>0</v>
      </c>
      <c r="W114" s="622">
        <f t="shared" si="6"/>
        <v>0</v>
      </c>
      <c r="X114" s="635">
        <f t="shared" si="7"/>
        <v>1.830000000000012E-4</v>
      </c>
      <c r="Y114" s="622">
        <f t="shared" si="8"/>
        <v>2.6900000000000177E-4</v>
      </c>
      <c r="Z114" s="622">
        <f>P$34</f>
        <v>0</v>
      </c>
      <c r="AA114" s="622" t="str">
        <f>IF(U114&gt;'JSM Eingabe+TW'!$CU$92,'JSM Eingabe+TW'!$CU$92," ")</f>
        <v xml:space="preserve"> </v>
      </c>
      <c r="AB114" s="622">
        <f t="shared" si="9"/>
        <v>269</v>
      </c>
    </row>
    <row r="115" spans="19:28" x14ac:dyDescent="0.2">
      <c r="S115" s="692">
        <v>268</v>
      </c>
      <c r="T115" s="703">
        <v>98</v>
      </c>
      <c r="U115" s="692">
        <f>LARGE('JSM Eingabe+TW'!$DJ$32:$DU$62,S115)</f>
        <v>9.9999999999999995E-7</v>
      </c>
      <c r="V115" s="622">
        <f t="shared" si="5"/>
        <v>0</v>
      </c>
      <c r="W115" s="622">
        <f t="shared" si="6"/>
        <v>0</v>
      </c>
      <c r="X115" s="635">
        <f t="shared" si="7"/>
        <v>1.830000000000012E-4</v>
      </c>
      <c r="Y115" s="622">
        <f t="shared" si="8"/>
        <v>2.6800000000000174E-4</v>
      </c>
      <c r="AA115" s="622" t="str">
        <f>IF(U115&gt;'JSM Eingabe+TW'!$CU$92,'JSM Eingabe+TW'!$CU$92," ")</f>
        <v xml:space="preserve"> </v>
      </c>
      <c r="AB115" s="622">
        <f t="shared" si="9"/>
        <v>268</v>
      </c>
    </row>
    <row r="116" spans="19:28" x14ac:dyDescent="0.2">
      <c r="S116" s="692">
        <v>267</v>
      </c>
      <c r="T116" s="703">
        <v>99</v>
      </c>
      <c r="U116" s="692">
        <f>LARGE('JSM Eingabe+TW'!$DJ$32:$DU$62,S116)</f>
        <v>9.9999999999999995E-7</v>
      </c>
      <c r="V116" s="622">
        <f t="shared" si="5"/>
        <v>0</v>
      </c>
      <c r="W116" s="622">
        <f t="shared" si="6"/>
        <v>0</v>
      </c>
      <c r="X116" s="635">
        <f t="shared" si="7"/>
        <v>1.830000000000012E-4</v>
      </c>
      <c r="Y116" s="622">
        <f t="shared" si="8"/>
        <v>2.6700000000000172E-4</v>
      </c>
      <c r="AA116" s="622" t="str">
        <f>IF(U116&gt;'JSM Eingabe+TW'!$CU$92,'JSM Eingabe+TW'!$CU$92," ")</f>
        <v xml:space="preserve"> </v>
      </c>
      <c r="AB116" s="622">
        <f t="shared" si="9"/>
        <v>267</v>
      </c>
    </row>
    <row r="117" spans="19:28" x14ac:dyDescent="0.2">
      <c r="S117" s="692">
        <v>266</v>
      </c>
      <c r="T117" s="703">
        <v>100</v>
      </c>
      <c r="U117" s="692">
        <f>LARGE('JSM Eingabe+TW'!$DJ$32:$DU$62,S117)</f>
        <v>9.9999999999999995E-7</v>
      </c>
      <c r="V117" s="622">
        <f t="shared" si="5"/>
        <v>0</v>
      </c>
      <c r="W117" s="622">
        <f t="shared" si="6"/>
        <v>0</v>
      </c>
      <c r="X117" s="635">
        <f t="shared" si="7"/>
        <v>1.830000000000012E-4</v>
      </c>
      <c r="Y117" s="622">
        <f t="shared" si="8"/>
        <v>2.6600000000000175E-4</v>
      </c>
      <c r="AA117" s="622" t="str">
        <f>IF(U117&gt;'JSM Eingabe+TW'!$CU$92,'JSM Eingabe+TW'!$CU$92," ")</f>
        <v xml:space="preserve"> </v>
      </c>
      <c r="AB117" s="622">
        <f t="shared" si="9"/>
        <v>266</v>
      </c>
    </row>
    <row r="118" spans="19:28" x14ac:dyDescent="0.2">
      <c r="S118" s="692">
        <v>265</v>
      </c>
      <c r="T118" s="703">
        <v>101</v>
      </c>
      <c r="U118" s="692">
        <f>LARGE('JSM Eingabe+TW'!$DJ$32:$DU$62,S118)</f>
        <v>9.9999999999999995E-7</v>
      </c>
      <c r="V118" s="622">
        <f t="shared" si="5"/>
        <v>0</v>
      </c>
      <c r="W118" s="622">
        <f t="shared" si="6"/>
        <v>0</v>
      </c>
      <c r="X118" s="635">
        <f t="shared" si="7"/>
        <v>1.830000000000012E-4</v>
      </c>
      <c r="Y118" s="622">
        <f t="shared" si="8"/>
        <v>2.6500000000000173E-4</v>
      </c>
      <c r="AA118" s="622" t="str">
        <f>IF(U118&gt;'JSM Eingabe+TW'!$CU$92,'JSM Eingabe+TW'!$CU$92," ")</f>
        <v xml:space="preserve"> </v>
      </c>
      <c r="AB118" s="622">
        <f t="shared" si="9"/>
        <v>265</v>
      </c>
    </row>
    <row r="119" spans="19:28" x14ac:dyDescent="0.2">
      <c r="S119" s="692">
        <v>264</v>
      </c>
      <c r="T119" s="703">
        <v>102</v>
      </c>
      <c r="U119" s="692">
        <f>LARGE('JSM Eingabe+TW'!$DJ$32:$DU$62,S119)</f>
        <v>9.9999999999999995E-7</v>
      </c>
      <c r="V119" s="622">
        <f t="shared" si="5"/>
        <v>0</v>
      </c>
      <c r="W119" s="622">
        <f t="shared" si="6"/>
        <v>0</v>
      </c>
      <c r="X119" s="635">
        <f t="shared" si="7"/>
        <v>1.830000000000012E-4</v>
      </c>
      <c r="Y119" s="622">
        <f t="shared" si="8"/>
        <v>2.640000000000017E-4</v>
      </c>
      <c r="Z119" s="622">
        <f>P$34</f>
        <v>0</v>
      </c>
      <c r="AA119" s="622" t="str">
        <f>IF(U119&gt;'JSM Eingabe+TW'!$CU$92,'JSM Eingabe+TW'!$CU$92," ")</f>
        <v xml:space="preserve"> </v>
      </c>
      <c r="AB119" s="622">
        <f t="shared" si="9"/>
        <v>264</v>
      </c>
    </row>
    <row r="120" spans="19:28" x14ac:dyDescent="0.2">
      <c r="S120" s="692">
        <v>263</v>
      </c>
      <c r="T120" s="703">
        <v>103</v>
      </c>
      <c r="U120" s="692">
        <f>LARGE('JSM Eingabe+TW'!$DJ$32:$DU$62,S120)</f>
        <v>9.9999999999999995E-7</v>
      </c>
      <c r="V120" s="622">
        <f t="shared" si="5"/>
        <v>0</v>
      </c>
      <c r="W120" s="622">
        <f t="shared" si="6"/>
        <v>0</v>
      </c>
      <c r="X120" s="635">
        <f t="shared" si="7"/>
        <v>1.830000000000012E-4</v>
      </c>
      <c r="Y120" s="622">
        <f t="shared" si="8"/>
        <v>2.6300000000000173E-4</v>
      </c>
      <c r="AA120" s="622" t="str">
        <f>IF(U120&gt;'JSM Eingabe+TW'!$CU$92,'JSM Eingabe+TW'!$CU$92," ")</f>
        <v xml:space="preserve"> </v>
      </c>
      <c r="AB120" s="622">
        <f t="shared" si="9"/>
        <v>263</v>
      </c>
    </row>
    <row r="121" spans="19:28" x14ac:dyDescent="0.2">
      <c r="S121" s="692">
        <v>262</v>
      </c>
      <c r="T121" s="703">
        <v>104</v>
      </c>
      <c r="U121" s="692">
        <f>LARGE('JSM Eingabe+TW'!$DJ$32:$DU$62,S121)</f>
        <v>9.9999999999999995E-7</v>
      </c>
      <c r="V121" s="622">
        <f t="shared" si="5"/>
        <v>0</v>
      </c>
      <c r="W121" s="622">
        <f t="shared" si="6"/>
        <v>0</v>
      </c>
      <c r="X121" s="635">
        <f t="shared" si="7"/>
        <v>1.830000000000012E-4</v>
      </c>
      <c r="Y121" s="622">
        <f t="shared" si="8"/>
        <v>2.6200000000000171E-4</v>
      </c>
      <c r="AA121" s="622" t="str">
        <f>IF(U121&gt;'JSM Eingabe+TW'!$CU$92,'JSM Eingabe+TW'!$CU$92," ")</f>
        <v xml:space="preserve"> </v>
      </c>
      <c r="AB121" s="622">
        <f t="shared" si="9"/>
        <v>262</v>
      </c>
    </row>
    <row r="122" spans="19:28" x14ac:dyDescent="0.2">
      <c r="S122" s="692">
        <v>261</v>
      </c>
      <c r="T122" s="703">
        <v>105</v>
      </c>
      <c r="U122" s="692">
        <f>LARGE('JSM Eingabe+TW'!$DJ$32:$DU$62,S122)</f>
        <v>9.9999999999999995E-7</v>
      </c>
      <c r="V122" s="622">
        <f t="shared" si="5"/>
        <v>0</v>
      </c>
      <c r="W122" s="622">
        <f t="shared" si="6"/>
        <v>0</v>
      </c>
      <c r="X122" s="635">
        <f t="shared" si="7"/>
        <v>1.830000000000012E-4</v>
      </c>
      <c r="Y122" s="622">
        <f t="shared" si="8"/>
        <v>2.6100000000000168E-4</v>
      </c>
      <c r="AA122" s="622" t="str">
        <f>IF(U122&gt;'JSM Eingabe+TW'!$CU$92,'JSM Eingabe+TW'!$CU$92," ")</f>
        <v xml:space="preserve"> </v>
      </c>
      <c r="AB122" s="622">
        <f t="shared" si="9"/>
        <v>261</v>
      </c>
    </row>
    <row r="123" spans="19:28" x14ac:dyDescent="0.2">
      <c r="S123" s="692">
        <v>260</v>
      </c>
      <c r="T123" s="703">
        <v>106</v>
      </c>
      <c r="U123" s="692">
        <f>LARGE('JSM Eingabe+TW'!$DJ$32:$DU$62,S123)</f>
        <v>9.9999999999999995E-7</v>
      </c>
      <c r="V123" s="622">
        <f t="shared" si="5"/>
        <v>0</v>
      </c>
      <c r="W123" s="622">
        <f t="shared" si="6"/>
        <v>0</v>
      </c>
      <c r="X123" s="635">
        <f t="shared" si="7"/>
        <v>1.830000000000012E-4</v>
      </c>
      <c r="Y123" s="622">
        <f t="shared" si="8"/>
        <v>2.6000000000000171E-4</v>
      </c>
      <c r="AA123" s="622" t="str">
        <f>IF(U123&gt;'JSM Eingabe+TW'!$CU$92,'JSM Eingabe+TW'!$CU$92," ")</f>
        <v xml:space="preserve"> </v>
      </c>
      <c r="AB123" s="622">
        <f t="shared" si="9"/>
        <v>260</v>
      </c>
    </row>
    <row r="124" spans="19:28" x14ac:dyDescent="0.2">
      <c r="S124" s="692">
        <v>259</v>
      </c>
      <c r="T124" s="703">
        <v>107</v>
      </c>
      <c r="U124" s="692">
        <f>LARGE('JSM Eingabe+TW'!$DJ$32:$DU$62,S124)</f>
        <v>9.9999999999999995E-7</v>
      </c>
      <c r="V124" s="622">
        <f t="shared" si="5"/>
        <v>0</v>
      </c>
      <c r="W124" s="622">
        <f t="shared" si="6"/>
        <v>0</v>
      </c>
      <c r="X124" s="635">
        <f t="shared" si="7"/>
        <v>1.830000000000012E-4</v>
      </c>
      <c r="Y124" s="622">
        <f t="shared" si="8"/>
        <v>2.5900000000000169E-4</v>
      </c>
      <c r="Z124" s="622">
        <f>P$34</f>
        <v>0</v>
      </c>
      <c r="AA124" s="622" t="str">
        <f>IF(U124&gt;'JSM Eingabe+TW'!$CU$92,'JSM Eingabe+TW'!$CU$92," ")</f>
        <v xml:space="preserve"> </v>
      </c>
      <c r="AB124" s="622">
        <f t="shared" si="9"/>
        <v>259</v>
      </c>
    </row>
    <row r="125" spans="19:28" x14ac:dyDescent="0.2">
      <c r="S125" s="692">
        <v>258</v>
      </c>
      <c r="T125" s="703">
        <v>108</v>
      </c>
      <c r="U125" s="692">
        <f>LARGE('JSM Eingabe+TW'!$DJ$32:$DU$62,S125)</f>
        <v>9.9999999999999995E-7</v>
      </c>
      <c r="V125" s="622">
        <f t="shared" si="5"/>
        <v>0</v>
      </c>
      <c r="W125" s="622">
        <f t="shared" si="6"/>
        <v>0</v>
      </c>
      <c r="X125" s="635">
        <f t="shared" si="7"/>
        <v>1.830000000000012E-4</v>
      </c>
      <c r="Y125" s="622">
        <f t="shared" si="8"/>
        <v>2.5800000000000166E-4</v>
      </c>
      <c r="AA125" s="622" t="str">
        <f>IF(U125&gt;'JSM Eingabe+TW'!$CU$92,'JSM Eingabe+TW'!$CU$92," ")</f>
        <v xml:space="preserve"> </v>
      </c>
      <c r="AB125" s="622">
        <f t="shared" si="9"/>
        <v>258</v>
      </c>
    </row>
    <row r="126" spans="19:28" x14ac:dyDescent="0.2">
      <c r="S126" s="692">
        <v>257</v>
      </c>
      <c r="T126" s="703">
        <v>109</v>
      </c>
      <c r="U126" s="692">
        <f>LARGE('JSM Eingabe+TW'!$DJ$32:$DU$62,S126)</f>
        <v>9.9999999999999995E-7</v>
      </c>
      <c r="V126" s="622">
        <f t="shared" si="5"/>
        <v>0</v>
      </c>
      <c r="W126" s="622">
        <f t="shared" si="6"/>
        <v>0</v>
      </c>
      <c r="X126" s="635">
        <f t="shared" si="7"/>
        <v>1.830000000000012E-4</v>
      </c>
      <c r="Y126" s="622">
        <f t="shared" si="8"/>
        <v>2.5700000000000169E-4</v>
      </c>
      <c r="AA126" s="622" t="str">
        <f>IF(U126&gt;'JSM Eingabe+TW'!$CU$92,'JSM Eingabe+TW'!$CU$92," ")</f>
        <v xml:space="preserve"> </v>
      </c>
      <c r="AB126" s="622">
        <f t="shared" si="9"/>
        <v>257</v>
      </c>
    </row>
    <row r="127" spans="19:28" x14ac:dyDescent="0.2">
      <c r="S127" s="692">
        <v>256</v>
      </c>
      <c r="T127" s="703">
        <v>110</v>
      </c>
      <c r="U127" s="692">
        <f>LARGE('JSM Eingabe+TW'!$DJ$32:$DU$62,S127)</f>
        <v>9.9999999999999995E-7</v>
      </c>
      <c r="V127" s="622">
        <f t="shared" si="5"/>
        <v>0</v>
      </c>
      <c r="W127" s="622">
        <f t="shared" si="6"/>
        <v>0</v>
      </c>
      <c r="X127" s="635">
        <f t="shared" si="7"/>
        <v>1.830000000000012E-4</v>
      </c>
      <c r="Y127" s="622">
        <f t="shared" si="8"/>
        <v>2.5600000000000167E-4</v>
      </c>
      <c r="AA127" s="622" t="str">
        <f>IF(U127&gt;'JSM Eingabe+TW'!$CU$92,'JSM Eingabe+TW'!$CU$92," ")</f>
        <v xml:space="preserve"> </v>
      </c>
      <c r="AB127" s="622">
        <f t="shared" si="9"/>
        <v>256</v>
      </c>
    </row>
    <row r="128" spans="19:28" x14ac:dyDescent="0.2">
      <c r="S128" s="692">
        <v>255</v>
      </c>
      <c r="T128" s="703">
        <v>111</v>
      </c>
      <c r="U128" s="692">
        <f>LARGE('JSM Eingabe+TW'!$DJ$32:$DU$62,S128)</f>
        <v>9.9999999999999995E-7</v>
      </c>
      <c r="V128" s="622">
        <f t="shared" si="5"/>
        <v>0</v>
      </c>
      <c r="W128" s="622">
        <f t="shared" si="6"/>
        <v>0</v>
      </c>
      <c r="X128" s="635">
        <f t="shared" si="7"/>
        <v>1.830000000000012E-4</v>
      </c>
      <c r="Y128" s="622">
        <f t="shared" si="8"/>
        <v>2.5500000000000164E-4</v>
      </c>
      <c r="AA128" s="622" t="str">
        <f>IF(U128&gt;'JSM Eingabe+TW'!$CU$92,'JSM Eingabe+TW'!$CU$92," ")</f>
        <v xml:space="preserve"> </v>
      </c>
      <c r="AB128" s="622">
        <f t="shared" si="9"/>
        <v>255</v>
      </c>
    </row>
    <row r="129" spans="19:28" x14ac:dyDescent="0.2">
      <c r="S129" s="692">
        <v>254</v>
      </c>
      <c r="T129" s="703">
        <v>112</v>
      </c>
      <c r="U129" s="692">
        <f>LARGE('JSM Eingabe+TW'!$DJ$32:$DU$62,S129)</f>
        <v>9.9999999999999995E-7</v>
      </c>
      <c r="V129" s="622">
        <f t="shared" si="5"/>
        <v>0</v>
      </c>
      <c r="W129" s="622">
        <f t="shared" si="6"/>
        <v>0</v>
      </c>
      <c r="X129" s="635">
        <f t="shared" si="7"/>
        <v>1.830000000000012E-4</v>
      </c>
      <c r="Y129" s="622">
        <f t="shared" si="8"/>
        <v>2.5400000000000167E-4</v>
      </c>
      <c r="Z129" s="622">
        <f>P$34</f>
        <v>0</v>
      </c>
      <c r="AA129" s="622" t="str">
        <f>IF(U129&gt;'JSM Eingabe+TW'!$CU$92,'JSM Eingabe+TW'!$CU$92," ")</f>
        <v xml:space="preserve"> </v>
      </c>
      <c r="AB129" s="622">
        <f t="shared" si="9"/>
        <v>254</v>
      </c>
    </row>
    <row r="130" spans="19:28" x14ac:dyDescent="0.2">
      <c r="S130" s="692">
        <v>253</v>
      </c>
      <c r="T130" s="703">
        <v>113</v>
      </c>
      <c r="U130" s="692">
        <f>LARGE('JSM Eingabe+TW'!$DJ$32:$DU$62,S130)</f>
        <v>9.9999999999999995E-7</v>
      </c>
      <c r="V130" s="622">
        <f t="shared" si="5"/>
        <v>0</v>
      </c>
      <c r="W130" s="622">
        <f t="shared" si="6"/>
        <v>0</v>
      </c>
      <c r="X130" s="635">
        <f t="shared" si="7"/>
        <v>1.830000000000012E-4</v>
      </c>
      <c r="Y130" s="622">
        <f t="shared" si="8"/>
        <v>2.5300000000000165E-4</v>
      </c>
      <c r="AA130" s="622" t="str">
        <f>IF(U130&gt;'JSM Eingabe+TW'!$CU$92,'JSM Eingabe+TW'!$CU$92," ")</f>
        <v xml:space="preserve"> </v>
      </c>
      <c r="AB130" s="622">
        <f t="shared" si="9"/>
        <v>253</v>
      </c>
    </row>
    <row r="131" spans="19:28" x14ac:dyDescent="0.2">
      <c r="S131" s="692">
        <v>252</v>
      </c>
      <c r="T131" s="703">
        <v>114</v>
      </c>
      <c r="U131" s="692">
        <f>LARGE('JSM Eingabe+TW'!$DJ$32:$DU$62,S131)</f>
        <v>9.9999999999999995E-7</v>
      </c>
      <c r="V131" s="622">
        <f t="shared" si="5"/>
        <v>0</v>
      </c>
      <c r="W131" s="622">
        <f t="shared" si="6"/>
        <v>0</v>
      </c>
      <c r="X131" s="635">
        <f t="shared" si="7"/>
        <v>1.830000000000012E-4</v>
      </c>
      <c r="Y131" s="622">
        <f t="shared" si="8"/>
        <v>2.5200000000000163E-4</v>
      </c>
      <c r="AA131" s="622" t="str">
        <f>IF(U131&gt;'JSM Eingabe+TW'!$CU$92,'JSM Eingabe+TW'!$CU$92," ")</f>
        <v xml:space="preserve"> </v>
      </c>
      <c r="AB131" s="622">
        <f t="shared" si="9"/>
        <v>252</v>
      </c>
    </row>
    <row r="132" spans="19:28" x14ac:dyDescent="0.2">
      <c r="S132" s="692">
        <v>251</v>
      </c>
      <c r="T132" s="703">
        <v>115</v>
      </c>
      <c r="U132" s="692">
        <f>LARGE('JSM Eingabe+TW'!$DJ$32:$DU$62,S132)</f>
        <v>9.9999999999999995E-7</v>
      </c>
      <c r="V132" s="622">
        <f t="shared" si="5"/>
        <v>0</v>
      </c>
      <c r="W132" s="622">
        <f t="shared" si="6"/>
        <v>0</v>
      </c>
      <c r="X132" s="635">
        <f t="shared" si="7"/>
        <v>1.830000000000012E-4</v>
      </c>
      <c r="Y132" s="622">
        <f t="shared" si="8"/>
        <v>2.5100000000000166E-4</v>
      </c>
      <c r="AA132" s="622" t="str">
        <f>IF(U132&gt;'JSM Eingabe+TW'!$CU$92,'JSM Eingabe+TW'!$CU$92," ")</f>
        <v xml:space="preserve"> </v>
      </c>
      <c r="AB132" s="622">
        <f t="shared" si="9"/>
        <v>251</v>
      </c>
    </row>
    <row r="133" spans="19:28" x14ac:dyDescent="0.2">
      <c r="S133" s="692">
        <v>250</v>
      </c>
      <c r="T133" s="703">
        <v>116</v>
      </c>
      <c r="U133" s="692">
        <f>LARGE('JSM Eingabe+TW'!$DJ$32:$DU$62,S133)</f>
        <v>9.9999999999999995E-7</v>
      </c>
      <c r="V133" s="622">
        <f t="shared" si="5"/>
        <v>0</v>
      </c>
      <c r="W133" s="622">
        <f t="shared" si="6"/>
        <v>0</v>
      </c>
      <c r="X133" s="635">
        <f t="shared" si="7"/>
        <v>1.830000000000012E-4</v>
      </c>
      <c r="Y133" s="622">
        <f t="shared" si="8"/>
        <v>2.5000000000000163E-4</v>
      </c>
      <c r="AA133" s="622" t="str">
        <f>IF(U133&gt;'JSM Eingabe+TW'!$CU$92,'JSM Eingabe+TW'!$CU$92," ")</f>
        <v xml:space="preserve"> </v>
      </c>
      <c r="AB133" s="622">
        <f t="shared" si="9"/>
        <v>250</v>
      </c>
    </row>
    <row r="134" spans="19:28" x14ac:dyDescent="0.2">
      <c r="S134" s="692">
        <v>249</v>
      </c>
      <c r="T134" s="703">
        <v>117</v>
      </c>
      <c r="U134" s="692">
        <f>LARGE('JSM Eingabe+TW'!$DJ$32:$DU$62,S134)</f>
        <v>9.9999999999999995E-7</v>
      </c>
      <c r="V134" s="622">
        <f t="shared" si="5"/>
        <v>0</v>
      </c>
      <c r="W134" s="622">
        <f t="shared" si="6"/>
        <v>0</v>
      </c>
      <c r="X134" s="635">
        <f t="shared" si="7"/>
        <v>1.830000000000012E-4</v>
      </c>
      <c r="Y134" s="622">
        <f t="shared" si="8"/>
        <v>2.4900000000000161E-4</v>
      </c>
      <c r="Z134" s="622">
        <f>P$34</f>
        <v>0</v>
      </c>
      <c r="AA134" s="622" t="str">
        <f>IF(U134&gt;'JSM Eingabe+TW'!$CU$92,'JSM Eingabe+TW'!$CU$92," ")</f>
        <v xml:space="preserve"> </v>
      </c>
      <c r="AB134" s="622">
        <f t="shared" si="9"/>
        <v>249</v>
      </c>
    </row>
    <row r="135" spans="19:28" x14ac:dyDescent="0.2">
      <c r="S135" s="692">
        <v>248</v>
      </c>
      <c r="T135" s="703">
        <v>118</v>
      </c>
      <c r="U135" s="692">
        <f>LARGE('JSM Eingabe+TW'!$DJ$32:$DU$62,S135)</f>
        <v>9.9999999999999995E-7</v>
      </c>
      <c r="V135" s="622">
        <f t="shared" si="5"/>
        <v>0</v>
      </c>
      <c r="W135" s="622">
        <f t="shared" si="6"/>
        <v>0</v>
      </c>
      <c r="X135" s="635">
        <f t="shared" si="7"/>
        <v>1.830000000000012E-4</v>
      </c>
      <c r="Y135" s="622">
        <f t="shared" si="8"/>
        <v>2.4800000000000164E-4</v>
      </c>
      <c r="AA135" s="622" t="str">
        <f>IF(U135&gt;'JSM Eingabe+TW'!$CU$92,'JSM Eingabe+TW'!$CU$92," ")</f>
        <v xml:space="preserve"> </v>
      </c>
      <c r="AB135" s="622">
        <f t="shared" si="9"/>
        <v>248</v>
      </c>
    </row>
    <row r="136" spans="19:28" x14ac:dyDescent="0.2">
      <c r="S136" s="692">
        <v>247</v>
      </c>
      <c r="T136" s="703">
        <v>119</v>
      </c>
      <c r="U136" s="692">
        <f>LARGE('JSM Eingabe+TW'!$DJ$32:$DU$62,S136)</f>
        <v>9.9999999999999995E-7</v>
      </c>
      <c r="V136" s="622">
        <f t="shared" si="5"/>
        <v>0</v>
      </c>
      <c r="W136" s="622">
        <f t="shared" si="6"/>
        <v>0</v>
      </c>
      <c r="X136" s="635">
        <f t="shared" si="7"/>
        <v>1.830000000000012E-4</v>
      </c>
      <c r="Y136" s="622">
        <f t="shared" si="8"/>
        <v>2.4700000000000161E-4</v>
      </c>
      <c r="AA136" s="622" t="str">
        <f>IF(U136&gt;'JSM Eingabe+TW'!$CU$92,'JSM Eingabe+TW'!$CU$92," ")</f>
        <v xml:space="preserve"> </v>
      </c>
      <c r="AB136" s="622">
        <f t="shared" si="9"/>
        <v>247</v>
      </c>
    </row>
    <row r="137" spans="19:28" x14ac:dyDescent="0.2">
      <c r="S137" s="692">
        <v>246</v>
      </c>
      <c r="T137" s="703">
        <v>120</v>
      </c>
      <c r="U137" s="692">
        <f>LARGE('JSM Eingabe+TW'!$DJ$32:$DU$62,S137)</f>
        <v>9.9999999999999995E-7</v>
      </c>
      <c r="V137" s="622">
        <f t="shared" si="5"/>
        <v>0</v>
      </c>
      <c r="W137" s="622">
        <f t="shared" si="6"/>
        <v>0</v>
      </c>
      <c r="X137" s="635">
        <f t="shared" si="7"/>
        <v>1.830000000000012E-4</v>
      </c>
      <c r="Y137" s="622">
        <f t="shared" si="8"/>
        <v>2.4600000000000159E-4</v>
      </c>
      <c r="AA137" s="622" t="str">
        <f>IF(U137&gt;'JSM Eingabe+TW'!$CU$92,'JSM Eingabe+TW'!$CU$92," ")</f>
        <v xml:space="preserve"> </v>
      </c>
      <c r="AB137" s="622">
        <f t="shared" si="9"/>
        <v>246</v>
      </c>
    </row>
    <row r="138" spans="19:28" x14ac:dyDescent="0.2">
      <c r="S138" s="692">
        <v>245</v>
      </c>
      <c r="T138" s="703">
        <v>121</v>
      </c>
      <c r="U138" s="692">
        <f>LARGE('JSM Eingabe+TW'!$DJ$32:$DU$62,S138)</f>
        <v>9.9999999999999995E-7</v>
      </c>
      <c r="V138" s="622">
        <f t="shared" si="5"/>
        <v>0</v>
      </c>
      <c r="W138" s="622">
        <f t="shared" si="6"/>
        <v>0</v>
      </c>
      <c r="X138" s="635">
        <f t="shared" si="7"/>
        <v>1.830000000000012E-4</v>
      </c>
      <c r="Y138" s="622">
        <f t="shared" si="8"/>
        <v>2.4500000000000162E-4</v>
      </c>
      <c r="AA138" s="622" t="str">
        <f>IF(U138&gt;'JSM Eingabe+TW'!$CU$92,'JSM Eingabe+TW'!$CU$92," ")</f>
        <v xml:space="preserve"> </v>
      </c>
      <c r="AB138" s="622">
        <f t="shared" si="9"/>
        <v>245</v>
      </c>
    </row>
    <row r="139" spans="19:28" x14ac:dyDescent="0.2">
      <c r="S139" s="692">
        <v>244</v>
      </c>
      <c r="T139" s="703">
        <v>122</v>
      </c>
      <c r="U139" s="692">
        <f>LARGE('JSM Eingabe+TW'!$DJ$32:$DU$62,S139)</f>
        <v>9.9999999999999995E-7</v>
      </c>
      <c r="V139" s="622">
        <f t="shared" si="5"/>
        <v>0</v>
      </c>
      <c r="W139" s="622">
        <f t="shared" si="6"/>
        <v>0</v>
      </c>
      <c r="X139" s="635">
        <f t="shared" si="7"/>
        <v>1.830000000000012E-4</v>
      </c>
      <c r="Y139" s="622">
        <f t="shared" si="8"/>
        <v>2.4400000000000159E-4</v>
      </c>
      <c r="Z139" s="622">
        <f>P$34</f>
        <v>0</v>
      </c>
      <c r="AA139" s="622" t="str">
        <f>IF(U139&gt;'JSM Eingabe+TW'!$CU$92,'JSM Eingabe+TW'!$CU$92," ")</f>
        <v xml:space="preserve"> </v>
      </c>
      <c r="AB139" s="622">
        <f t="shared" si="9"/>
        <v>244</v>
      </c>
    </row>
    <row r="140" spans="19:28" x14ac:dyDescent="0.2">
      <c r="S140" s="692">
        <v>243</v>
      </c>
      <c r="T140" s="703">
        <v>123</v>
      </c>
      <c r="U140" s="692">
        <f>LARGE('JSM Eingabe+TW'!$DJ$32:$DU$62,S140)</f>
        <v>9.9999999999999995E-7</v>
      </c>
      <c r="V140" s="622">
        <f t="shared" si="5"/>
        <v>0</v>
      </c>
      <c r="W140" s="622">
        <f t="shared" si="6"/>
        <v>0</v>
      </c>
      <c r="X140" s="635">
        <f t="shared" si="7"/>
        <v>1.830000000000012E-4</v>
      </c>
      <c r="Y140" s="622">
        <f t="shared" si="8"/>
        <v>2.430000000000016E-4</v>
      </c>
      <c r="AA140" s="622" t="str">
        <f>IF(U140&gt;'JSM Eingabe+TW'!$CU$92,'JSM Eingabe+TW'!$CU$92," ")</f>
        <v xml:space="preserve"> </v>
      </c>
      <c r="AB140" s="622">
        <f t="shared" si="9"/>
        <v>243</v>
      </c>
    </row>
    <row r="141" spans="19:28" x14ac:dyDescent="0.2">
      <c r="S141" s="692">
        <v>242</v>
      </c>
      <c r="T141" s="703">
        <v>124</v>
      </c>
      <c r="U141" s="692">
        <f>LARGE('JSM Eingabe+TW'!$DJ$32:$DU$62,S141)</f>
        <v>9.9999999999999995E-7</v>
      </c>
      <c r="V141" s="622">
        <f t="shared" si="5"/>
        <v>0</v>
      </c>
      <c r="W141" s="622">
        <f t="shared" si="6"/>
        <v>0</v>
      </c>
      <c r="X141" s="635">
        <f t="shared" si="7"/>
        <v>1.830000000000012E-4</v>
      </c>
      <c r="Y141" s="622">
        <f t="shared" si="8"/>
        <v>2.4200000000000157E-4</v>
      </c>
      <c r="AA141" s="622" t="str">
        <f>IF(U141&gt;'JSM Eingabe+TW'!$CU$92,'JSM Eingabe+TW'!$CU$92," ")</f>
        <v xml:space="preserve"> </v>
      </c>
      <c r="AB141" s="622">
        <f t="shared" si="9"/>
        <v>242</v>
      </c>
    </row>
    <row r="142" spans="19:28" x14ac:dyDescent="0.2">
      <c r="S142" s="692">
        <v>241</v>
      </c>
      <c r="T142" s="703">
        <v>125</v>
      </c>
      <c r="U142" s="692">
        <f>LARGE('JSM Eingabe+TW'!$DJ$32:$DU$62,S142)</f>
        <v>9.9999999999999995E-7</v>
      </c>
      <c r="V142" s="622">
        <f t="shared" si="5"/>
        <v>0</v>
      </c>
      <c r="W142" s="622">
        <f t="shared" si="6"/>
        <v>0</v>
      </c>
      <c r="X142" s="635">
        <f t="shared" si="7"/>
        <v>1.830000000000012E-4</v>
      </c>
      <c r="Y142" s="622">
        <f t="shared" si="8"/>
        <v>2.4100000000000158E-4</v>
      </c>
      <c r="AA142" s="622" t="str">
        <f>IF(U142&gt;'JSM Eingabe+TW'!$CU$92,'JSM Eingabe+TW'!$CU$92," ")</f>
        <v xml:space="preserve"> </v>
      </c>
      <c r="AB142" s="622">
        <f t="shared" si="9"/>
        <v>241</v>
      </c>
    </row>
    <row r="143" spans="19:28" x14ac:dyDescent="0.2">
      <c r="S143" s="692">
        <v>240</v>
      </c>
      <c r="T143" s="703">
        <v>126</v>
      </c>
      <c r="U143" s="692">
        <f>LARGE('JSM Eingabe+TW'!$DJ$32:$DU$62,S143)</f>
        <v>9.9999999999999995E-7</v>
      </c>
      <c r="V143" s="622">
        <f t="shared" si="5"/>
        <v>0</v>
      </c>
      <c r="W143" s="622">
        <f t="shared" si="6"/>
        <v>0</v>
      </c>
      <c r="X143" s="635">
        <f t="shared" si="7"/>
        <v>1.830000000000012E-4</v>
      </c>
      <c r="Y143" s="622">
        <f t="shared" si="8"/>
        <v>2.4000000000000155E-4</v>
      </c>
      <c r="AA143" s="622" t="str">
        <f>IF(U143&gt;'JSM Eingabe+TW'!$CU$92,'JSM Eingabe+TW'!$CU$92," ")</f>
        <v xml:space="preserve"> </v>
      </c>
      <c r="AB143" s="622">
        <f t="shared" si="9"/>
        <v>240</v>
      </c>
    </row>
    <row r="144" spans="19:28" x14ac:dyDescent="0.2">
      <c r="S144" s="692">
        <v>239</v>
      </c>
      <c r="T144" s="703">
        <v>127</v>
      </c>
      <c r="U144" s="692">
        <f>LARGE('JSM Eingabe+TW'!$DJ$32:$DU$62,S144)</f>
        <v>9.9999999999999995E-7</v>
      </c>
      <c r="V144" s="622">
        <f t="shared" si="5"/>
        <v>0</v>
      </c>
      <c r="W144" s="622">
        <f t="shared" si="6"/>
        <v>0</v>
      </c>
      <c r="X144" s="635">
        <f t="shared" si="7"/>
        <v>1.830000000000012E-4</v>
      </c>
      <c r="Y144" s="622">
        <f t="shared" si="8"/>
        <v>2.3900000000000155E-4</v>
      </c>
      <c r="Z144" s="622">
        <f>P$34</f>
        <v>0</v>
      </c>
      <c r="AA144" s="622" t="str">
        <f>IF(U144&gt;'JSM Eingabe+TW'!$CU$92,'JSM Eingabe+TW'!$CU$92," ")</f>
        <v xml:space="preserve"> </v>
      </c>
      <c r="AB144" s="622">
        <f t="shared" si="9"/>
        <v>239</v>
      </c>
    </row>
    <row r="145" spans="19:28" x14ac:dyDescent="0.2">
      <c r="S145" s="692">
        <v>238</v>
      </c>
      <c r="T145" s="703">
        <v>128</v>
      </c>
      <c r="U145" s="692">
        <f>LARGE('JSM Eingabe+TW'!$DJ$32:$DU$62,S145)</f>
        <v>9.9999999999999995E-7</v>
      </c>
      <c r="V145" s="622">
        <f t="shared" si="5"/>
        <v>0</v>
      </c>
      <c r="W145" s="622">
        <f t="shared" si="6"/>
        <v>0</v>
      </c>
      <c r="X145" s="635">
        <f t="shared" si="7"/>
        <v>1.830000000000012E-4</v>
      </c>
      <c r="Y145" s="622">
        <f t="shared" si="8"/>
        <v>2.3800000000000156E-4</v>
      </c>
      <c r="AA145" s="622" t="str">
        <f>IF(U145&gt;'JSM Eingabe+TW'!$CU$92,'JSM Eingabe+TW'!$CU$92," ")</f>
        <v xml:space="preserve"> </v>
      </c>
      <c r="AB145" s="622">
        <f t="shared" si="9"/>
        <v>238</v>
      </c>
    </row>
    <row r="146" spans="19:28" x14ac:dyDescent="0.2">
      <c r="S146" s="692">
        <v>237</v>
      </c>
      <c r="T146" s="703">
        <v>129</v>
      </c>
      <c r="U146" s="692">
        <f>LARGE('JSM Eingabe+TW'!$DJ$32:$DU$62,S146)</f>
        <v>9.9999999999999995E-7</v>
      </c>
      <c r="V146" s="622">
        <f t="shared" ref="V146:V209" si="10">IF(T146=V$13,LARGE(U$18:U$382,1),0)</f>
        <v>0</v>
      </c>
      <c r="W146" s="622">
        <f t="shared" ref="W146:W209" si="11">IF(T146=W$13,LARGE(U$18:U$382,1),0)</f>
        <v>0</v>
      </c>
      <c r="X146" s="635">
        <f t="shared" ref="X146:X209" si="12">P$35</f>
        <v>1.830000000000012E-4</v>
      </c>
      <c r="Y146" s="622">
        <f t="shared" ref="Y146:Y209" si="13">IF(T146&lt;=$W$13,U146,((U$15-P$34)/(365-W$13)*AB146)+P$34)</f>
        <v>2.3700000000000153E-4</v>
      </c>
      <c r="AA146" s="622" t="str">
        <f>IF(U146&gt;'JSM Eingabe+TW'!$CU$92,'JSM Eingabe+TW'!$CU$92," ")</f>
        <v xml:space="preserve"> </v>
      </c>
      <c r="AB146" s="622">
        <f t="shared" si="9"/>
        <v>237</v>
      </c>
    </row>
    <row r="147" spans="19:28" x14ac:dyDescent="0.2">
      <c r="S147" s="692">
        <v>236</v>
      </c>
      <c r="T147" s="703">
        <v>130</v>
      </c>
      <c r="U147" s="692">
        <f>LARGE('JSM Eingabe+TW'!$DJ$32:$DU$62,S147)</f>
        <v>9.9999999999999995E-7</v>
      </c>
      <c r="V147" s="622">
        <f t="shared" si="10"/>
        <v>0</v>
      </c>
      <c r="W147" s="622">
        <f t="shared" si="11"/>
        <v>0</v>
      </c>
      <c r="X147" s="635">
        <f t="shared" si="12"/>
        <v>1.830000000000012E-4</v>
      </c>
      <c r="Y147" s="622">
        <f t="shared" si="13"/>
        <v>2.3600000000000154E-4</v>
      </c>
      <c r="AA147" s="622" t="str">
        <f>IF(U147&gt;'JSM Eingabe+TW'!$CU$92,'JSM Eingabe+TW'!$CU$92," ")</f>
        <v xml:space="preserve"> </v>
      </c>
      <c r="AB147" s="622">
        <f t="shared" ref="AB147:AB210" si="14">IF(T147&lt;=W$13,0,S147)</f>
        <v>236</v>
      </c>
    </row>
    <row r="148" spans="19:28" x14ac:dyDescent="0.2">
      <c r="S148" s="692">
        <v>235</v>
      </c>
      <c r="T148" s="703">
        <v>131</v>
      </c>
      <c r="U148" s="692">
        <f>LARGE('JSM Eingabe+TW'!$DJ$32:$DU$62,S148)</f>
        <v>9.9999999999999995E-7</v>
      </c>
      <c r="V148" s="622">
        <f t="shared" si="10"/>
        <v>0</v>
      </c>
      <c r="W148" s="622">
        <f t="shared" si="11"/>
        <v>0</v>
      </c>
      <c r="X148" s="635">
        <f t="shared" si="12"/>
        <v>1.830000000000012E-4</v>
      </c>
      <c r="Y148" s="622">
        <f t="shared" si="13"/>
        <v>2.3500000000000154E-4</v>
      </c>
      <c r="AA148" s="622" t="str">
        <f>IF(U148&gt;'JSM Eingabe+TW'!$CU$92,'JSM Eingabe+TW'!$CU$92," ")</f>
        <v xml:space="preserve"> </v>
      </c>
      <c r="AB148" s="622">
        <f t="shared" si="14"/>
        <v>235</v>
      </c>
    </row>
    <row r="149" spans="19:28" x14ac:dyDescent="0.2">
      <c r="S149" s="692">
        <v>234</v>
      </c>
      <c r="T149" s="703">
        <v>132</v>
      </c>
      <c r="U149" s="692">
        <f>LARGE('JSM Eingabe+TW'!$DJ$32:$DU$62,S149)</f>
        <v>9.9999999999999995E-7</v>
      </c>
      <c r="V149" s="622">
        <f t="shared" si="10"/>
        <v>0</v>
      </c>
      <c r="W149" s="622">
        <f t="shared" si="11"/>
        <v>0</v>
      </c>
      <c r="X149" s="635">
        <f t="shared" si="12"/>
        <v>1.830000000000012E-4</v>
      </c>
      <c r="Y149" s="622">
        <f t="shared" si="13"/>
        <v>2.3400000000000151E-4</v>
      </c>
      <c r="Z149" s="622">
        <f>P$34</f>
        <v>0</v>
      </c>
      <c r="AA149" s="622" t="str">
        <f>IF(U149&gt;'JSM Eingabe+TW'!$CU$92,'JSM Eingabe+TW'!$CU$92," ")</f>
        <v xml:space="preserve"> </v>
      </c>
      <c r="AB149" s="622">
        <f t="shared" si="14"/>
        <v>234</v>
      </c>
    </row>
    <row r="150" spans="19:28" x14ac:dyDescent="0.2">
      <c r="S150" s="692">
        <v>233</v>
      </c>
      <c r="T150" s="703">
        <v>133</v>
      </c>
      <c r="U150" s="692">
        <f>LARGE('JSM Eingabe+TW'!$DJ$32:$DU$62,S150)</f>
        <v>9.9999999999999995E-7</v>
      </c>
      <c r="V150" s="622">
        <f t="shared" si="10"/>
        <v>0</v>
      </c>
      <c r="W150" s="622">
        <f t="shared" si="11"/>
        <v>0</v>
      </c>
      <c r="X150" s="635">
        <f t="shared" si="12"/>
        <v>1.830000000000012E-4</v>
      </c>
      <c r="Y150" s="622">
        <f t="shared" si="13"/>
        <v>2.3300000000000152E-4</v>
      </c>
      <c r="AA150" s="622" t="str">
        <f>IF(U150&gt;'JSM Eingabe+TW'!$CU$92,'JSM Eingabe+TW'!$CU$92," ")</f>
        <v xml:space="preserve"> </v>
      </c>
      <c r="AB150" s="622">
        <f t="shared" si="14"/>
        <v>233</v>
      </c>
    </row>
    <row r="151" spans="19:28" x14ac:dyDescent="0.2">
      <c r="S151" s="692">
        <v>232</v>
      </c>
      <c r="T151" s="703">
        <v>134</v>
      </c>
      <c r="U151" s="692">
        <f>LARGE('JSM Eingabe+TW'!$DJ$32:$DU$62,S151)</f>
        <v>9.9999999999999995E-7</v>
      </c>
      <c r="V151" s="622">
        <f t="shared" si="10"/>
        <v>0</v>
      </c>
      <c r="W151" s="622">
        <f t="shared" si="11"/>
        <v>0</v>
      </c>
      <c r="X151" s="635">
        <f t="shared" si="12"/>
        <v>1.830000000000012E-4</v>
      </c>
      <c r="Y151" s="622">
        <f t="shared" si="13"/>
        <v>2.3200000000000152E-4</v>
      </c>
      <c r="AA151" s="622" t="str">
        <f>IF(U151&gt;'JSM Eingabe+TW'!$CU$92,'JSM Eingabe+TW'!$CU$92," ")</f>
        <v xml:space="preserve"> </v>
      </c>
      <c r="AB151" s="622">
        <f t="shared" si="14"/>
        <v>232</v>
      </c>
    </row>
    <row r="152" spans="19:28" x14ac:dyDescent="0.2">
      <c r="S152" s="692">
        <v>231</v>
      </c>
      <c r="T152" s="703">
        <v>135</v>
      </c>
      <c r="U152" s="692">
        <f>LARGE('JSM Eingabe+TW'!$DJ$32:$DU$62,S152)</f>
        <v>9.9999999999999995E-7</v>
      </c>
      <c r="V152" s="622">
        <f t="shared" si="10"/>
        <v>0</v>
      </c>
      <c r="W152" s="622">
        <f t="shared" si="11"/>
        <v>0</v>
      </c>
      <c r="X152" s="635">
        <f t="shared" si="12"/>
        <v>1.830000000000012E-4</v>
      </c>
      <c r="Y152" s="622">
        <f t="shared" si="13"/>
        <v>2.3100000000000149E-4</v>
      </c>
      <c r="AA152" s="622" t="str">
        <f>IF(U152&gt;'JSM Eingabe+TW'!$CU$92,'JSM Eingabe+TW'!$CU$92," ")</f>
        <v xml:space="preserve"> </v>
      </c>
      <c r="AB152" s="622">
        <f t="shared" si="14"/>
        <v>231</v>
      </c>
    </row>
    <row r="153" spans="19:28" x14ac:dyDescent="0.2">
      <c r="S153" s="692">
        <v>230</v>
      </c>
      <c r="T153" s="703">
        <v>136</v>
      </c>
      <c r="U153" s="692">
        <f>LARGE('JSM Eingabe+TW'!$DJ$32:$DU$62,S153)</f>
        <v>9.9999999999999995E-7</v>
      </c>
      <c r="V153" s="622">
        <f t="shared" si="10"/>
        <v>0</v>
      </c>
      <c r="W153" s="622">
        <f t="shared" si="11"/>
        <v>0</v>
      </c>
      <c r="X153" s="635">
        <f t="shared" si="12"/>
        <v>1.830000000000012E-4</v>
      </c>
      <c r="Y153" s="622">
        <f t="shared" si="13"/>
        <v>2.300000000000015E-4</v>
      </c>
      <c r="AA153" s="622" t="str">
        <f>IF(U153&gt;'JSM Eingabe+TW'!$CU$92,'JSM Eingabe+TW'!$CU$92," ")</f>
        <v xml:space="preserve"> </v>
      </c>
      <c r="AB153" s="622">
        <f t="shared" si="14"/>
        <v>230</v>
      </c>
    </row>
    <row r="154" spans="19:28" x14ac:dyDescent="0.2">
      <c r="S154" s="692">
        <v>229</v>
      </c>
      <c r="T154" s="703">
        <v>137</v>
      </c>
      <c r="U154" s="692">
        <f>LARGE('JSM Eingabe+TW'!$DJ$32:$DU$62,S154)</f>
        <v>9.9999999999999995E-7</v>
      </c>
      <c r="V154" s="622">
        <f t="shared" si="10"/>
        <v>0</v>
      </c>
      <c r="W154" s="622">
        <f t="shared" si="11"/>
        <v>0</v>
      </c>
      <c r="X154" s="635">
        <f t="shared" si="12"/>
        <v>1.830000000000012E-4</v>
      </c>
      <c r="Y154" s="622">
        <f t="shared" si="13"/>
        <v>2.290000000000015E-4</v>
      </c>
      <c r="Z154" s="622">
        <f>P$34</f>
        <v>0</v>
      </c>
      <c r="AA154" s="622" t="str">
        <f>IF(U154&gt;'JSM Eingabe+TW'!$CU$92,'JSM Eingabe+TW'!$CU$92," ")</f>
        <v xml:space="preserve"> </v>
      </c>
      <c r="AB154" s="622">
        <f t="shared" si="14"/>
        <v>229</v>
      </c>
    </row>
    <row r="155" spans="19:28" x14ac:dyDescent="0.2">
      <c r="S155" s="692">
        <v>228</v>
      </c>
      <c r="T155" s="703">
        <v>138</v>
      </c>
      <c r="U155" s="692">
        <f>LARGE('JSM Eingabe+TW'!$DJ$32:$DU$62,S155)</f>
        <v>9.9999999999999995E-7</v>
      </c>
      <c r="V155" s="622">
        <f t="shared" si="10"/>
        <v>0</v>
      </c>
      <c r="W155" s="622">
        <f t="shared" si="11"/>
        <v>0</v>
      </c>
      <c r="X155" s="635">
        <f t="shared" si="12"/>
        <v>1.830000000000012E-4</v>
      </c>
      <c r="Y155" s="622">
        <f t="shared" si="13"/>
        <v>2.2800000000000148E-4</v>
      </c>
      <c r="AA155" s="622" t="str">
        <f>IF(U155&gt;'JSM Eingabe+TW'!$CU$92,'JSM Eingabe+TW'!$CU$92," ")</f>
        <v xml:space="preserve"> </v>
      </c>
      <c r="AB155" s="622">
        <f t="shared" si="14"/>
        <v>228</v>
      </c>
    </row>
    <row r="156" spans="19:28" x14ac:dyDescent="0.2">
      <c r="S156" s="692">
        <v>227</v>
      </c>
      <c r="T156" s="703">
        <v>139</v>
      </c>
      <c r="U156" s="692">
        <f>LARGE('JSM Eingabe+TW'!$DJ$32:$DU$62,S156)</f>
        <v>9.9999999999999995E-7</v>
      </c>
      <c r="V156" s="622">
        <f t="shared" si="10"/>
        <v>0</v>
      </c>
      <c r="W156" s="622">
        <f t="shared" si="11"/>
        <v>0</v>
      </c>
      <c r="X156" s="635">
        <f t="shared" si="12"/>
        <v>1.830000000000012E-4</v>
      </c>
      <c r="Y156" s="622">
        <f t="shared" si="13"/>
        <v>2.2700000000000148E-4</v>
      </c>
      <c r="AA156" s="622" t="str">
        <f>IF(U156&gt;'JSM Eingabe+TW'!$CU$92,'JSM Eingabe+TW'!$CU$92," ")</f>
        <v xml:space="preserve"> </v>
      </c>
      <c r="AB156" s="622">
        <f t="shared" si="14"/>
        <v>227</v>
      </c>
    </row>
    <row r="157" spans="19:28" x14ac:dyDescent="0.2">
      <c r="S157" s="692">
        <v>226</v>
      </c>
      <c r="T157" s="703">
        <v>140</v>
      </c>
      <c r="U157" s="692">
        <f>LARGE('JSM Eingabe+TW'!$DJ$32:$DU$62,S157)</f>
        <v>9.9999999999999995E-7</v>
      </c>
      <c r="V157" s="622">
        <f t="shared" si="10"/>
        <v>0</v>
      </c>
      <c r="W157" s="622">
        <f t="shared" si="11"/>
        <v>0</v>
      </c>
      <c r="X157" s="635">
        <f t="shared" si="12"/>
        <v>1.830000000000012E-4</v>
      </c>
      <c r="Y157" s="622">
        <f t="shared" si="13"/>
        <v>2.2600000000000148E-4</v>
      </c>
      <c r="AA157" s="622" t="str">
        <f>IF(U157&gt;'JSM Eingabe+TW'!$CU$92,'JSM Eingabe+TW'!$CU$92," ")</f>
        <v xml:space="preserve"> </v>
      </c>
      <c r="AB157" s="622">
        <f t="shared" si="14"/>
        <v>226</v>
      </c>
    </row>
    <row r="158" spans="19:28" x14ac:dyDescent="0.2">
      <c r="S158" s="692">
        <v>225</v>
      </c>
      <c r="T158" s="703">
        <v>141</v>
      </c>
      <c r="U158" s="692">
        <f>LARGE('JSM Eingabe+TW'!$DJ$32:$DU$62,S158)</f>
        <v>9.9999999999999995E-7</v>
      </c>
      <c r="V158" s="622">
        <f t="shared" si="10"/>
        <v>0</v>
      </c>
      <c r="W158" s="622">
        <f t="shared" si="11"/>
        <v>0</v>
      </c>
      <c r="X158" s="635">
        <f t="shared" si="12"/>
        <v>1.830000000000012E-4</v>
      </c>
      <c r="Y158" s="622">
        <f t="shared" si="13"/>
        <v>2.2500000000000146E-4</v>
      </c>
      <c r="AA158" s="622" t="str">
        <f>IF(U158&gt;'JSM Eingabe+TW'!$CU$92,'JSM Eingabe+TW'!$CU$92," ")</f>
        <v xml:space="preserve"> </v>
      </c>
      <c r="AB158" s="622">
        <f t="shared" si="14"/>
        <v>225</v>
      </c>
    </row>
    <row r="159" spans="19:28" x14ac:dyDescent="0.2">
      <c r="S159" s="692">
        <v>224</v>
      </c>
      <c r="T159" s="703">
        <v>142</v>
      </c>
      <c r="U159" s="692">
        <f>LARGE('JSM Eingabe+TW'!$DJ$32:$DU$62,S159)</f>
        <v>9.9999999999999995E-7</v>
      </c>
      <c r="V159" s="622">
        <f t="shared" si="10"/>
        <v>0</v>
      </c>
      <c r="W159" s="622">
        <f t="shared" si="11"/>
        <v>0</v>
      </c>
      <c r="X159" s="635">
        <f t="shared" si="12"/>
        <v>1.830000000000012E-4</v>
      </c>
      <c r="Y159" s="622">
        <f t="shared" si="13"/>
        <v>2.2400000000000146E-4</v>
      </c>
      <c r="Z159" s="622">
        <f>P$34</f>
        <v>0</v>
      </c>
      <c r="AA159" s="622" t="str">
        <f>IF(U159&gt;'JSM Eingabe+TW'!$CU$92,'JSM Eingabe+TW'!$CU$92," ")</f>
        <v xml:space="preserve"> </v>
      </c>
      <c r="AB159" s="622">
        <f t="shared" si="14"/>
        <v>224</v>
      </c>
    </row>
    <row r="160" spans="19:28" x14ac:dyDescent="0.2">
      <c r="S160" s="692">
        <v>223</v>
      </c>
      <c r="T160" s="703">
        <v>143</v>
      </c>
      <c r="U160" s="692">
        <f>LARGE('JSM Eingabe+TW'!$DJ$32:$DU$62,S160)</f>
        <v>9.9999999999999995E-7</v>
      </c>
      <c r="V160" s="622">
        <f t="shared" si="10"/>
        <v>0</v>
      </c>
      <c r="W160" s="622">
        <f t="shared" si="11"/>
        <v>0</v>
      </c>
      <c r="X160" s="635">
        <f t="shared" si="12"/>
        <v>1.830000000000012E-4</v>
      </c>
      <c r="Y160" s="622">
        <f t="shared" si="13"/>
        <v>2.2300000000000146E-4</v>
      </c>
      <c r="AA160" s="622" t="str">
        <f>IF(U160&gt;'JSM Eingabe+TW'!$CU$92,'JSM Eingabe+TW'!$CU$92," ")</f>
        <v xml:space="preserve"> </v>
      </c>
      <c r="AB160" s="622">
        <f t="shared" si="14"/>
        <v>223</v>
      </c>
    </row>
    <row r="161" spans="19:28" x14ac:dyDescent="0.2">
      <c r="S161" s="692">
        <v>222</v>
      </c>
      <c r="T161" s="703">
        <v>144</v>
      </c>
      <c r="U161" s="692">
        <f>LARGE('JSM Eingabe+TW'!$DJ$32:$DU$62,S161)</f>
        <v>9.9999999999999995E-7</v>
      </c>
      <c r="V161" s="622">
        <f t="shared" si="10"/>
        <v>0</v>
      </c>
      <c r="W161" s="622">
        <f t="shared" si="11"/>
        <v>0</v>
      </c>
      <c r="X161" s="635">
        <f t="shared" si="12"/>
        <v>1.830000000000012E-4</v>
      </c>
      <c r="Y161" s="622">
        <f t="shared" si="13"/>
        <v>2.2200000000000144E-4</v>
      </c>
      <c r="AA161" s="622" t="str">
        <f>IF(U161&gt;'JSM Eingabe+TW'!$CU$92,'JSM Eingabe+TW'!$CU$92," ")</f>
        <v xml:space="preserve"> </v>
      </c>
      <c r="AB161" s="622">
        <f t="shared" si="14"/>
        <v>222</v>
      </c>
    </row>
    <row r="162" spans="19:28" x14ac:dyDescent="0.2">
      <c r="S162" s="692">
        <v>221</v>
      </c>
      <c r="T162" s="703">
        <v>145</v>
      </c>
      <c r="U162" s="692">
        <f>LARGE('JSM Eingabe+TW'!$DJ$32:$DU$62,S162)</f>
        <v>9.9999999999999995E-7</v>
      </c>
      <c r="V162" s="622">
        <f t="shared" si="10"/>
        <v>0</v>
      </c>
      <c r="W162" s="622">
        <f t="shared" si="11"/>
        <v>0</v>
      </c>
      <c r="X162" s="635">
        <f t="shared" si="12"/>
        <v>1.830000000000012E-4</v>
      </c>
      <c r="Y162" s="622">
        <f t="shared" si="13"/>
        <v>2.2100000000000144E-4</v>
      </c>
      <c r="AA162" s="622" t="str">
        <f>IF(U162&gt;'JSM Eingabe+TW'!$CU$92,'JSM Eingabe+TW'!$CU$92," ")</f>
        <v xml:space="preserve"> </v>
      </c>
      <c r="AB162" s="622">
        <f t="shared" si="14"/>
        <v>221</v>
      </c>
    </row>
    <row r="163" spans="19:28" x14ac:dyDescent="0.2">
      <c r="S163" s="692">
        <v>220</v>
      </c>
      <c r="T163" s="703">
        <v>146</v>
      </c>
      <c r="U163" s="692">
        <f>LARGE('JSM Eingabe+TW'!$DJ$32:$DU$62,S163)</f>
        <v>9.9999999999999995E-7</v>
      </c>
      <c r="V163" s="622">
        <f t="shared" si="10"/>
        <v>0</v>
      </c>
      <c r="W163" s="622">
        <f t="shared" si="11"/>
        <v>0</v>
      </c>
      <c r="X163" s="635">
        <f t="shared" si="12"/>
        <v>1.830000000000012E-4</v>
      </c>
      <c r="Y163" s="622">
        <f t="shared" si="13"/>
        <v>2.2000000000000144E-4</v>
      </c>
      <c r="AA163" s="622" t="str">
        <f>IF(U163&gt;'JSM Eingabe+TW'!$CU$92,'JSM Eingabe+TW'!$CU$92," ")</f>
        <v xml:space="preserve"> </v>
      </c>
      <c r="AB163" s="622">
        <f t="shared" si="14"/>
        <v>220</v>
      </c>
    </row>
    <row r="164" spans="19:28" x14ac:dyDescent="0.2">
      <c r="S164" s="692">
        <v>219</v>
      </c>
      <c r="T164" s="703">
        <v>147</v>
      </c>
      <c r="U164" s="692">
        <f>LARGE('JSM Eingabe+TW'!$DJ$32:$DU$62,S164)</f>
        <v>9.9999999999999995E-7</v>
      </c>
      <c r="V164" s="622">
        <f t="shared" si="10"/>
        <v>0</v>
      </c>
      <c r="W164" s="622">
        <f t="shared" si="11"/>
        <v>0</v>
      </c>
      <c r="X164" s="635">
        <f t="shared" si="12"/>
        <v>1.830000000000012E-4</v>
      </c>
      <c r="Y164" s="622">
        <f t="shared" si="13"/>
        <v>2.1900000000000142E-4</v>
      </c>
      <c r="Z164" s="622">
        <f>P$34</f>
        <v>0</v>
      </c>
      <c r="AA164" s="622" t="str">
        <f>IF(U164&gt;'JSM Eingabe+TW'!$CU$92,'JSM Eingabe+TW'!$CU$92," ")</f>
        <v xml:space="preserve"> </v>
      </c>
      <c r="AB164" s="622">
        <f t="shared" si="14"/>
        <v>219</v>
      </c>
    </row>
    <row r="165" spans="19:28" x14ac:dyDescent="0.2">
      <c r="S165" s="692">
        <v>218</v>
      </c>
      <c r="T165" s="703">
        <v>148</v>
      </c>
      <c r="U165" s="692">
        <f>LARGE('JSM Eingabe+TW'!$DJ$32:$DU$62,S165)</f>
        <v>9.9999999999999995E-7</v>
      </c>
      <c r="V165" s="622">
        <f t="shared" si="10"/>
        <v>0</v>
      </c>
      <c r="W165" s="622">
        <f t="shared" si="11"/>
        <v>0</v>
      </c>
      <c r="X165" s="635">
        <f t="shared" si="12"/>
        <v>1.830000000000012E-4</v>
      </c>
      <c r="Y165" s="622">
        <f t="shared" si="13"/>
        <v>2.1800000000000142E-4</v>
      </c>
      <c r="AA165" s="622" t="str">
        <f>IF(U165&gt;'JSM Eingabe+TW'!$CU$92,'JSM Eingabe+TW'!$CU$92," ")</f>
        <v xml:space="preserve"> </v>
      </c>
      <c r="AB165" s="622">
        <f t="shared" si="14"/>
        <v>218</v>
      </c>
    </row>
    <row r="166" spans="19:28" x14ac:dyDescent="0.2">
      <c r="S166" s="692">
        <v>217</v>
      </c>
      <c r="T166" s="703">
        <v>149</v>
      </c>
      <c r="U166" s="692">
        <f>LARGE('JSM Eingabe+TW'!$DJ$32:$DU$62,S166)</f>
        <v>9.9999999999999995E-7</v>
      </c>
      <c r="V166" s="622">
        <f t="shared" si="10"/>
        <v>0</v>
      </c>
      <c r="W166" s="622">
        <f t="shared" si="11"/>
        <v>0</v>
      </c>
      <c r="X166" s="635">
        <f t="shared" si="12"/>
        <v>1.830000000000012E-4</v>
      </c>
      <c r="Y166" s="622">
        <f t="shared" si="13"/>
        <v>2.1700000000000143E-4</v>
      </c>
      <c r="AA166" s="622" t="str">
        <f>IF(U166&gt;'JSM Eingabe+TW'!$CU$92,'JSM Eingabe+TW'!$CU$92," ")</f>
        <v xml:space="preserve"> </v>
      </c>
      <c r="AB166" s="622">
        <f t="shared" si="14"/>
        <v>217</v>
      </c>
    </row>
    <row r="167" spans="19:28" x14ac:dyDescent="0.2">
      <c r="S167" s="692">
        <v>216</v>
      </c>
      <c r="T167" s="703">
        <v>150</v>
      </c>
      <c r="U167" s="692">
        <f>LARGE('JSM Eingabe+TW'!$DJ$32:$DU$62,S167)</f>
        <v>9.9999999999999995E-7</v>
      </c>
      <c r="V167" s="622">
        <f t="shared" si="10"/>
        <v>0</v>
      </c>
      <c r="W167" s="622">
        <f t="shared" si="11"/>
        <v>0</v>
      </c>
      <c r="X167" s="635">
        <f t="shared" si="12"/>
        <v>1.830000000000012E-4</v>
      </c>
      <c r="Y167" s="622">
        <f t="shared" si="13"/>
        <v>2.160000000000014E-4</v>
      </c>
      <c r="AA167" s="622" t="str">
        <f>IF(U167&gt;'JSM Eingabe+TW'!$CU$92,'JSM Eingabe+TW'!$CU$92," ")</f>
        <v xml:space="preserve"> </v>
      </c>
      <c r="AB167" s="622">
        <f t="shared" si="14"/>
        <v>216</v>
      </c>
    </row>
    <row r="168" spans="19:28" x14ac:dyDescent="0.2">
      <c r="S168" s="692">
        <v>215</v>
      </c>
      <c r="T168" s="703">
        <v>151</v>
      </c>
      <c r="U168" s="692">
        <f>LARGE('JSM Eingabe+TW'!$DJ$32:$DU$62,S168)</f>
        <v>9.9999999999999995E-7</v>
      </c>
      <c r="V168" s="622">
        <f t="shared" si="10"/>
        <v>0</v>
      </c>
      <c r="W168" s="622">
        <f t="shared" si="11"/>
        <v>0</v>
      </c>
      <c r="X168" s="635">
        <f t="shared" si="12"/>
        <v>1.830000000000012E-4</v>
      </c>
      <c r="Y168" s="622">
        <f t="shared" si="13"/>
        <v>2.150000000000014E-4</v>
      </c>
      <c r="AA168" s="622" t="str">
        <f>IF(U168&gt;'JSM Eingabe+TW'!$CU$92,'JSM Eingabe+TW'!$CU$92," ")</f>
        <v xml:space="preserve"> </v>
      </c>
      <c r="AB168" s="622">
        <f t="shared" si="14"/>
        <v>215</v>
      </c>
    </row>
    <row r="169" spans="19:28" x14ac:dyDescent="0.2">
      <c r="S169" s="692">
        <v>214</v>
      </c>
      <c r="T169" s="703">
        <v>152</v>
      </c>
      <c r="U169" s="692">
        <f>LARGE('JSM Eingabe+TW'!$DJ$32:$DU$62,S169)</f>
        <v>9.9999999999999995E-7</v>
      </c>
      <c r="V169" s="622">
        <f t="shared" si="10"/>
        <v>0</v>
      </c>
      <c r="W169" s="622">
        <f t="shared" si="11"/>
        <v>0</v>
      </c>
      <c r="X169" s="635">
        <f t="shared" si="12"/>
        <v>1.830000000000012E-4</v>
      </c>
      <c r="Y169" s="622">
        <f t="shared" si="13"/>
        <v>2.1400000000000141E-4</v>
      </c>
      <c r="AA169" s="622" t="str">
        <f>IF(U169&gt;'JSM Eingabe+TW'!$CU$92,'JSM Eingabe+TW'!$CU$92," ")</f>
        <v xml:space="preserve"> </v>
      </c>
      <c r="AB169" s="622">
        <f t="shared" si="14"/>
        <v>214</v>
      </c>
    </row>
    <row r="170" spans="19:28" x14ac:dyDescent="0.2">
      <c r="S170" s="692">
        <v>213</v>
      </c>
      <c r="T170" s="703">
        <v>153</v>
      </c>
      <c r="U170" s="692">
        <f>LARGE('JSM Eingabe+TW'!$DJ$32:$DU$62,S170)</f>
        <v>9.9999999999999995E-7</v>
      </c>
      <c r="V170" s="622">
        <f t="shared" si="10"/>
        <v>0</v>
      </c>
      <c r="W170" s="622">
        <f t="shared" si="11"/>
        <v>0</v>
      </c>
      <c r="X170" s="635">
        <f t="shared" si="12"/>
        <v>1.830000000000012E-4</v>
      </c>
      <c r="Y170" s="622">
        <f t="shared" si="13"/>
        <v>2.1300000000000138E-4</v>
      </c>
      <c r="Z170" s="622">
        <f>P$34</f>
        <v>0</v>
      </c>
      <c r="AA170" s="622" t="str">
        <f>IF(U170&gt;'JSM Eingabe+TW'!$CU$92,'JSM Eingabe+TW'!$CU$92," ")</f>
        <v xml:space="preserve"> </v>
      </c>
      <c r="AB170" s="622">
        <f t="shared" si="14"/>
        <v>213</v>
      </c>
    </row>
    <row r="171" spans="19:28" x14ac:dyDescent="0.2">
      <c r="S171" s="692">
        <v>212</v>
      </c>
      <c r="T171" s="703">
        <v>154</v>
      </c>
      <c r="U171" s="692">
        <f>LARGE('JSM Eingabe+TW'!$DJ$32:$DU$62,S171)</f>
        <v>9.9999999999999995E-7</v>
      </c>
      <c r="V171" s="622">
        <f t="shared" si="10"/>
        <v>0</v>
      </c>
      <c r="W171" s="622">
        <f t="shared" si="11"/>
        <v>0</v>
      </c>
      <c r="X171" s="635">
        <f t="shared" si="12"/>
        <v>1.830000000000012E-4</v>
      </c>
      <c r="Y171" s="622">
        <f t="shared" si="13"/>
        <v>2.1200000000000139E-4</v>
      </c>
      <c r="AA171" s="622" t="str">
        <f>IF(U171&gt;'JSM Eingabe+TW'!$CU$92,'JSM Eingabe+TW'!$CU$92," ")</f>
        <v xml:space="preserve"> </v>
      </c>
      <c r="AB171" s="622">
        <f t="shared" si="14"/>
        <v>212</v>
      </c>
    </row>
    <row r="172" spans="19:28" x14ac:dyDescent="0.2">
      <c r="S172" s="692">
        <v>211</v>
      </c>
      <c r="T172" s="703">
        <v>155</v>
      </c>
      <c r="U172" s="692">
        <f>LARGE('JSM Eingabe+TW'!$DJ$32:$DU$62,S172)</f>
        <v>9.9999999999999995E-7</v>
      </c>
      <c r="V172" s="622">
        <f t="shared" si="10"/>
        <v>0</v>
      </c>
      <c r="W172" s="622">
        <f t="shared" si="11"/>
        <v>0</v>
      </c>
      <c r="X172" s="635">
        <f t="shared" si="12"/>
        <v>1.830000000000012E-4</v>
      </c>
      <c r="Y172" s="622">
        <f t="shared" si="13"/>
        <v>2.1100000000000139E-4</v>
      </c>
      <c r="AA172" s="622" t="str">
        <f>IF(U172&gt;'JSM Eingabe+TW'!$CU$92,'JSM Eingabe+TW'!$CU$92," ")</f>
        <v xml:space="preserve"> </v>
      </c>
      <c r="AB172" s="622">
        <f t="shared" si="14"/>
        <v>211</v>
      </c>
    </row>
    <row r="173" spans="19:28" x14ac:dyDescent="0.2">
      <c r="S173" s="692">
        <v>210</v>
      </c>
      <c r="T173" s="703">
        <v>156</v>
      </c>
      <c r="U173" s="692">
        <f>LARGE('JSM Eingabe+TW'!$DJ$32:$DU$62,S173)</f>
        <v>9.9999999999999995E-7</v>
      </c>
      <c r="V173" s="622">
        <f t="shared" si="10"/>
        <v>0</v>
      </c>
      <c r="W173" s="622">
        <f t="shared" si="11"/>
        <v>0</v>
      </c>
      <c r="X173" s="635">
        <f t="shared" si="12"/>
        <v>1.830000000000012E-4</v>
      </c>
      <c r="Y173" s="622">
        <f t="shared" si="13"/>
        <v>2.1000000000000136E-4</v>
      </c>
      <c r="AA173" s="622" t="str">
        <f>IF(U173&gt;'JSM Eingabe+TW'!$CU$92,'JSM Eingabe+TW'!$CU$92," ")</f>
        <v xml:space="preserve"> </v>
      </c>
      <c r="AB173" s="622">
        <f t="shared" si="14"/>
        <v>210</v>
      </c>
    </row>
    <row r="174" spans="19:28" x14ac:dyDescent="0.2">
      <c r="S174" s="692">
        <v>209</v>
      </c>
      <c r="T174" s="703">
        <v>157</v>
      </c>
      <c r="U174" s="692">
        <f>LARGE('JSM Eingabe+TW'!$DJ$32:$DU$62,S174)</f>
        <v>9.9999999999999995E-7</v>
      </c>
      <c r="V174" s="622">
        <f t="shared" si="10"/>
        <v>0</v>
      </c>
      <c r="W174" s="622">
        <f t="shared" si="11"/>
        <v>0</v>
      </c>
      <c r="X174" s="635">
        <f t="shared" si="12"/>
        <v>1.830000000000012E-4</v>
      </c>
      <c r="Y174" s="622">
        <f t="shared" si="13"/>
        <v>2.0900000000000137E-4</v>
      </c>
      <c r="AA174" s="622" t="str">
        <f>IF(U174&gt;'JSM Eingabe+TW'!$CU$92,'JSM Eingabe+TW'!$CU$92," ")</f>
        <v xml:space="preserve"> </v>
      </c>
      <c r="AB174" s="622">
        <f t="shared" si="14"/>
        <v>209</v>
      </c>
    </row>
    <row r="175" spans="19:28" x14ac:dyDescent="0.2">
      <c r="S175" s="692">
        <v>208</v>
      </c>
      <c r="T175" s="703">
        <v>158</v>
      </c>
      <c r="U175" s="692">
        <f>LARGE('JSM Eingabe+TW'!$DJ$32:$DU$62,S175)</f>
        <v>9.9999999999999995E-7</v>
      </c>
      <c r="V175" s="622">
        <f t="shared" si="10"/>
        <v>0</v>
      </c>
      <c r="W175" s="622">
        <f t="shared" si="11"/>
        <v>0</v>
      </c>
      <c r="X175" s="635">
        <f t="shared" si="12"/>
        <v>1.830000000000012E-4</v>
      </c>
      <c r="Y175" s="622">
        <f t="shared" si="13"/>
        <v>2.0800000000000137E-4</v>
      </c>
      <c r="Z175" s="622">
        <f>P$34</f>
        <v>0</v>
      </c>
      <c r="AA175" s="622" t="str">
        <f>IF(U175&gt;'JSM Eingabe+TW'!$CU$92,'JSM Eingabe+TW'!$CU$92," ")</f>
        <v xml:space="preserve"> </v>
      </c>
      <c r="AB175" s="622">
        <f t="shared" si="14"/>
        <v>208</v>
      </c>
    </row>
    <row r="176" spans="19:28" x14ac:dyDescent="0.2">
      <c r="S176" s="692">
        <v>207</v>
      </c>
      <c r="T176" s="703">
        <v>159</v>
      </c>
      <c r="U176" s="692">
        <f>LARGE('JSM Eingabe+TW'!$DJ$32:$DU$62,S176)</f>
        <v>9.9999999999999995E-7</v>
      </c>
      <c r="V176" s="622">
        <f t="shared" si="10"/>
        <v>0</v>
      </c>
      <c r="W176" s="622">
        <f t="shared" si="11"/>
        <v>0</v>
      </c>
      <c r="X176" s="635">
        <f t="shared" si="12"/>
        <v>1.830000000000012E-4</v>
      </c>
      <c r="Y176" s="622">
        <f t="shared" si="13"/>
        <v>2.0700000000000135E-4</v>
      </c>
      <c r="AA176" s="622" t="str">
        <f>IF(U176&gt;'JSM Eingabe+TW'!$CU$92,'JSM Eingabe+TW'!$CU$92," ")</f>
        <v xml:space="preserve"> </v>
      </c>
      <c r="AB176" s="622">
        <f t="shared" si="14"/>
        <v>207</v>
      </c>
    </row>
    <row r="177" spans="19:28" x14ac:dyDescent="0.2">
      <c r="S177" s="692">
        <v>206</v>
      </c>
      <c r="T177" s="703">
        <v>160</v>
      </c>
      <c r="U177" s="692">
        <f>LARGE('JSM Eingabe+TW'!$DJ$32:$DU$62,S177)</f>
        <v>9.9999999999999995E-7</v>
      </c>
      <c r="V177" s="622">
        <f t="shared" si="10"/>
        <v>0</v>
      </c>
      <c r="W177" s="622">
        <f t="shared" si="11"/>
        <v>0</v>
      </c>
      <c r="X177" s="635">
        <f t="shared" si="12"/>
        <v>1.830000000000012E-4</v>
      </c>
      <c r="Y177" s="622">
        <f t="shared" si="13"/>
        <v>2.0600000000000135E-4</v>
      </c>
      <c r="AA177" s="622" t="str">
        <f>IF(U177&gt;'JSM Eingabe+TW'!$CU$92,'JSM Eingabe+TW'!$CU$92," ")</f>
        <v xml:space="preserve"> </v>
      </c>
      <c r="AB177" s="622">
        <f t="shared" si="14"/>
        <v>206</v>
      </c>
    </row>
    <row r="178" spans="19:28" x14ac:dyDescent="0.2">
      <c r="S178" s="692">
        <v>205</v>
      </c>
      <c r="T178" s="703">
        <v>161</v>
      </c>
      <c r="U178" s="692">
        <f>LARGE('JSM Eingabe+TW'!$DJ$32:$DU$62,S178)</f>
        <v>9.9999999999999995E-7</v>
      </c>
      <c r="V178" s="622">
        <f t="shared" si="10"/>
        <v>0</v>
      </c>
      <c r="W178" s="622">
        <f t="shared" si="11"/>
        <v>0</v>
      </c>
      <c r="X178" s="635">
        <f t="shared" si="12"/>
        <v>1.830000000000012E-4</v>
      </c>
      <c r="Y178" s="622">
        <f t="shared" si="13"/>
        <v>2.0500000000000132E-4</v>
      </c>
      <c r="AA178" s="622" t="str">
        <f>IF(U178&gt;'JSM Eingabe+TW'!$CU$92,'JSM Eingabe+TW'!$CU$92," ")</f>
        <v xml:space="preserve"> </v>
      </c>
      <c r="AB178" s="622">
        <f t="shared" si="14"/>
        <v>205</v>
      </c>
    </row>
    <row r="179" spans="19:28" x14ac:dyDescent="0.2">
      <c r="S179" s="692">
        <v>204</v>
      </c>
      <c r="T179" s="703">
        <v>162</v>
      </c>
      <c r="U179" s="692">
        <f>LARGE('JSM Eingabe+TW'!$DJ$32:$DU$62,S179)</f>
        <v>9.9999999999999995E-7</v>
      </c>
      <c r="V179" s="622">
        <f t="shared" si="10"/>
        <v>0</v>
      </c>
      <c r="W179" s="622">
        <f t="shared" si="11"/>
        <v>0</v>
      </c>
      <c r="X179" s="635">
        <f t="shared" si="12"/>
        <v>1.830000000000012E-4</v>
      </c>
      <c r="Y179" s="622">
        <f t="shared" si="13"/>
        <v>2.0400000000000133E-4</v>
      </c>
      <c r="AA179" s="622" t="str">
        <f>IF(U179&gt;'JSM Eingabe+TW'!$CU$92,'JSM Eingabe+TW'!$CU$92," ")</f>
        <v xml:space="preserve"> </v>
      </c>
      <c r="AB179" s="622">
        <f t="shared" si="14"/>
        <v>204</v>
      </c>
    </row>
    <row r="180" spans="19:28" x14ac:dyDescent="0.2">
      <c r="S180" s="692">
        <v>203</v>
      </c>
      <c r="T180" s="703">
        <v>163</v>
      </c>
      <c r="U180" s="692">
        <f>LARGE('JSM Eingabe+TW'!$DJ$32:$DU$62,S180)</f>
        <v>9.9999999999999995E-7</v>
      </c>
      <c r="V180" s="622">
        <f t="shared" si="10"/>
        <v>0</v>
      </c>
      <c r="W180" s="622">
        <f t="shared" si="11"/>
        <v>0</v>
      </c>
      <c r="X180" s="635">
        <f t="shared" si="12"/>
        <v>1.830000000000012E-4</v>
      </c>
      <c r="Y180" s="622">
        <f t="shared" si="13"/>
        <v>2.0300000000000133E-4</v>
      </c>
      <c r="Z180" s="622">
        <f>P$34</f>
        <v>0</v>
      </c>
      <c r="AA180" s="622" t="str">
        <f>IF(U180&gt;'JSM Eingabe+TW'!$CU$92,'JSM Eingabe+TW'!$CU$92," ")</f>
        <v xml:space="preserve"> </v>
      </c>
      <c r="AB180" s="622">
        <f t="shared" si="14"/>
        <v>203</v>
      </c>
    </row>
    <row r="181" spans="19:28" x14ac:dyDescent="0.2">
      <c r="S181" s="692">
        <v>202</v>
      </c>
      <c r="T181" s="703">
        <v>164</v>
      </c>
      <c r="U181" s="692">
        <f>LARGE('JSM Eingabe+TW'!$DJ$32:$DU$62,S181)</f>
        <v>9.9999999999999995E-7</v>
      </c>
      <c r="V181" s="622">
        <f t="shared" si="10"/>
        <v>0</v>
      </c>
      <c r="W181" s="622">
        <f t="shared" si="11"/>
        <v>0</v>
      </c>
      <c r="X181" s="635">
        <f t="shared" si="12"/>
        <v>1.830000000000012E-4</v>
      </c>
      <c r="Y181" s="622">
        <f t="shared" si="13"/>
        <v>2.0200000000000131E-4</v>
      </c>
      <c r="AA181" s="622" t="str">
        <f>IF(U181&gt;'JSM Eingabe+TW'!$CU$92,'JSM Eingabe+TW'!$CU$92," ")</f>
        <v xml:space="preserve"> </v>
      </c>
      <c r="AB181" s="622">
        <f t="shared" si="14"/>
        <v>202</v>
      </c>
    </row>
    <row r="182" spans="19:28" x14ac:dyDescent="0.2">
      <c r="S182" s="692">
        <v>201</v>
      </c>
      <c r="T182" s="703">
        <v>165</v>
      </c>
      <c r="U182" s="692">
        <f>LARGE('JSM Eingabe+TW'!$DJ$32:$DU$62,S182)</f>
        <v>9.9999999999999995E-7</v>
      </c>
      <c r="V182" s="622">
        <f t="shared" si="10"/>
        <v>0</v>
      </c>
      <c r="W182" s="622">
        <f t="shared" si="11"/>
        <v>0</v>
      </c>
      <c r="X182" s="635">
        <f t="shared" si="12"/>
        <v>1.830000000000012E-4</v>
      </c>
      <c r="Y182" s="622">
        <f t="shared" si="13"/>
        <v>2.0100000000000131E-4</v>
      </c>
      <c r="AA182" s="622" t="str">
        <f>IF(U182&gt;'JSM Eingabe+TW'!$CU$92,'JSM Eingabe+TW'!$CU$92," ")</f>
        <v xml:space="preserve"> </v>
      </c>
      <c r="AB182" s="622">
        <f t="shared" si="14"/>
        <v>201</v>
      </c>
    </row>
    <row r="183" spans="19:28" x14ac:dyDescent="0.2">
      <c r="S183" s="692">
        <v>200</v>
      </c>
      <c r="T183" s="703">
        <v>166</v>
      </c>
      <c r="U183" s="692">
        <f>LARGE('JSM Eingabe+TW'!$DJ$32:$DU$62,S183)</f>
        <v>9.9999999999999995E-7</v>
      </c>
      <c r="V183" s="622">
        <f t="shared" si="10"/>
        <v>0</v>
      </c>
      <c r="W183" s="622">
        <f t="shared" si="11"/>
        <v>0</v>
      </c>
      <c r="X183" s="635">
        <f t="shared" si="12"/>
        <v>1.830000000000012E-4</v>
      </c>
      <c r="Y183" s="622">
        <f t="shared" si="13"/>
        <v>2.0000000000000131E-4</v>
      </c>
      <c r="AA183" s="622" t="str">
        <f>IF(U183&gt;'JSM Eingabe+TW'!$CU$92,'JSM Eingabe+TW'!$CU$92," ")</f>
        <v xml:space="preserve"> </v>
      </c>
      <c r="AB183" s="622">
        <f t="shared" si="14"/>
        <v>200</v>
      </c>
    </row>
    <row r="184" spans="19:28" x14ac:dyDescent="0.2">
      <c r="S184" s="692">
        <v>199</v>
      </c>
      <c r="T184" s="703">
        <v>167</v>
      </c>
      <c r="U184" s="692">
        <f>LARGE('JSM Eingabe+TW'!$DJ$32:$DU$62,S184)</f>
        <v>9.9999999999999995E-7</v>
      </c>
      <c r="V184" s="622">
        <f t="shared" si="10"/>
        <v>0</v>
      </c>
      <c r="W184" s="622">
        <f t="shared" si="11"/>
        <v>0</v>
      </c>
      <c r="X184" s="635">
        <f t="shared" si="12"/>
        <v>1.830000000000012E-4</v>
      </c>
      <c r="Y184" s="622">
        <f t="shared" si="13"/>
        <v>1.9900000000000129E-4</v>
      </c>
      <c r="AA184" s="622" t="str">
        <f>IF(U184&gt;'JSM Eingabe+TW'!$CU$92,'JSM Eingabe+TW'!$CU$92," ")</f>
        <v xml:space="preserve"> </v>
      </c>
      <c r="AB184" s="622">
        <f t="shared" si="14"/>
        <v>199</v>
      </c>
    </row>
    <row r="185" spans="19:28" x14ac:dyDescent="0.2">
      <c r="S185" s="692">
        <v>198</v>
      </c>
      <c r="T185" s="703">
        <v>168</v>
      </c>
      <c r="U185" s="692">
        <f>LARGE('JSM Eingabe+TW'!$DJ$32:$DU$62,S185)</f>
        <v>9.9999999999999995E-7</v>
      </c>
      <c r="V185" s="622">
        <f t="shared" si="10"/>
        <v>0</v>
      </c>
      <c r="W185" s="622">
        <f t="shared" si="11"/>
        <v>0</v>
      </c>
      <c r="X185" s="635">
        <f t="shared" si="12"/>
        <v>1.830000000000012E-4</v>
      </c>
      <c r="Y185" s="622">
        <f t="shared" si="13"/>
        <v>1.9800000000000129E-4</v>
      </c>
      <c r="Z185" s="622">
        <f>P$34</f>
        <v>0</v>
      </c>
      <c r="AA185" s="622" t="str">
        <f>IF(U185&gt;'JSM Eingabe+TW'!$CU$92,'JSM Eingabe+TW'!$CU$92," ")</f>
        <v xml:space="preserve"> </v>
      </c>
      <c r="AB185" s="622">
        <f t="shared" si="14"/>
        <v>198</v>
      </c>
    </row>
    <row r="186" spans="19:28" x14ac:dyDescent="0.2">
      <c r="S186" s="692">
        <v>197</v>
      </c>
      <c r="T186" s="703">
        <v>169</v>
      </c>
      <c r="U186" s="692">
        <f>LARGE('JSM Eingabe+TW'!$DJ$32:$DU$62,S186)</f>
        <v>9.9999999999999995E-7</v>
      </c>
      <c r="V186" s="622">
        <f t="shared" si="10"/>
        <v>0</v>
      </c>
      <c r="W186" s="622">
        <f t="shared" si="11"/>
        <v>0</v>
      </c>
      <c r="X186" s="635">
        <f t="shared" si="12"/>
        <v>1.830000000000012E-4</v>
      </c>
      <c r="Y186" s="622">
        <f t="shared" si="13"/>
        <v>1.9700000000000129E-4</v>
      </c>
      <c r="AA186" s="622" t="str">
        <f>IF(U186&gt;'JSM Eingabe+TW'!$CU$92,'JSM Eingabe+TW'!$CU$92," ")</f>
        <v xml:space="preserve"> </v>
      </c>
      <c r="AB186" s="622">
        <f t="shared" si="14"/>
        <v>197</v>
      </c>
    </row>
    <row r="187" spans="19:28" x14ac:dyDescent="0.2">
      <c r="S187" s="692">
        <v>196</v>
      </c>
      <c r="T187" s="703">
        <v>170</v>
      </c>
      <c r="U187" s="692">
        <f>LARGE('JSM Eingabe+TW'!$DJ$32:$DU$62,S187)</f>
        <v>9.9999999999999995E-7</v>
      </c>
      <c r="V187" s="622">
        <f t="shared" si="10"/>
        <v>0</v>
      </c>
      <c r="W187" s="622">
        <f t="shared" si="11"/>
        <v>0</v>
      </c>
      <c r="X187" s="635">
        <f t="shared" si="12"/>
        <v>1.830000000000012E-4</v>
      </c>
      <c r="Y187" s="622">
        <f t="shared" si="13"/>
        <v>1.9600000000000127E-4</v>
      </c>
      <c r="AA187" s="622" t="str">
        <f>IF(U187&gt;'JSM Eingabe+TW'!$CU$92,'JSM Eingabe+TW'!$CU$92," ")</f>
        <v xml:space="preserve"> </v>
      </c>
      <c r="AB187" s="622">
        <f t="shared" si="14"/>
        <v>196</v>
      </c>
    </row>
    <row r="188" spans="19:28" x14ac:dyDescent="0.2">
      <c r="S188" s="692">
        <v>195</v>
      </c>
      <c r="T188" s="703">
        <v>171</v>
      </c>
      <c r="U188" s="692">
        <f>LARGE('JSM Eingabe+TW'!$DJ$32:$DU$62,S188)</f>
        <v>9.9999999999999995E-7</v>
      </c>
      <c r="V188" s="622">
        <f t="shared" si="10"/>
        <v>0</v>
      </c>
      <c r="W188" s="622">
        <f t="shared" si="11"/>
        <v>0</v>
      </c>
      <c r="X188" s="635">
        <f t="shared" si="12"/>
        <v>1.830000000000012E-4</v>
      </c>
      <c r="Y188" s="622">
        <f t="shared" si="13"/>
        <v>1.9500000000000127E-4</v>
      </c>
      <c r="AA188" s="622" t="str">
        <f>IF(U188&gt;'JSM Eingabe+TW'!$CU$92,'JSM Eingabe+TW'!$CU$92," ")</f>
        <v xml:space="preserve"> </v>
      </c>
      <c r="AB188" s="622">
        <f t="shared" si="14"/>
        <v>195</v>
      </c>
    </row>
    <row r="189" spans="19:28" x14ac:dyDescent="0.2">
      <c r="S189" s="692">
        <v>194</v>
      </c>
      <c r="T189" s="703">
        <v>172</v>
      </c>
      <c r="U189" s="692">
        <f>LARGE('JSM Eingabe+TW'!$DJ$32:$DU$62,S189)</f>
        <v>9.9999999999999995E-7</v>
      </c>
      <c r="V189" s="622">
        <f t="shared" si="10"/>
        <v>0</v>
      </c>
      <c r="W189" s="622">
        <f t="shared" si="11"/>
        <v>0</v>
      </c>
      <c r="X189" s="635">
        <f t="shared" si="12"/>
        <v>1.830000000000012E-4</v>
      </c>
      <c r="Y189" s="622">
        <f t="shared" si="13"/>
        <v>1.9400000000000127E-4</v>
      </c>
      <c r="AA189" s="622" t="str">
        <f>IF(U189&gt;'JSM Eingabe+TW'!$CU$92,'JSM Eingabe+TW'!$CU$92," ")</f>
        <v xml:space="preserve"> </v>
      </c>
      <c r="AB189" s="622">
        <f t="shared" si="14"/>
        <v>194</v>
      </c>
    </row>
    <row r="190" spans="19:28" x14ac:dyDescent="0.2">
      <c r="S190" s="692">
        <v>193</v>
      </c>
      <c r="T190" s="703">
        <v>173</v>
      </c>
      <c r="U190" s="692">
        <f>LARGE('JSM Eingabe+TW'!$DJ$32:$DU$62,S190)</f>
        <v>9.9999999999999995E-7</v>
      </c>
      <c r="V190" s="622">
        <f t="shared" si="10"/>
        <v>0</v>
      </c>
      <c r="W190" s="622">
        <f t="shared" si="11"/>
        <v>0</v>
      </c>
      <c r="X190" s="635">
        <f t="shared" si="12"/>
        <v>1.830000000000012E-4</v>
      </c>
      <c r="Y190" s="622">
        <f t="shared" si="13"/>
        <v>1.9300000000000125E-4</v>
      </c>
      <c r="Z190" s="622">
        <f>P$34</f>
        <v>0</v>
      </c>
      <c r="AA190" s="622" t="str">
        <f>IF(U190&gt;'JSM Eingabe+TW'!$CU$92,'JSM Eingabe+TW'!$CU$92," ")</f>
        <v xml:space="preserve"> </v>
      </c>
      <c r="AB190" s="622">
        <f t="shared" si="14"/>
        <v>193</v>
      </c>
    </row>
    <row r="191" spans="19:28" x14ac:dyDescent="0.2">
      <c r="S191" s="692">
        <v>192</v>
      </c>
      <c r="T191" s="703">
        <v>174</v>
      </c>
      <c r="U191" s="692">
        <f>LARGE('JSM Eingabe+TW'!$DJ$32:$DU$62,S191)</f>
        <v>9.9999999999999995E-7</v>
      </c>
      <c r="V191" s="622">
        <f t="shared" si="10"/>
        <v>0</v>
      </c>
      <c r="W191" s="622">
        <f t="shared" si="11"/>
        <v>0</v>
      </c>
      <c r="X191" s="635">
        <f t="shared" si="12"/>
        <v>1.830000000000012E-4</v>
      </c>
      <c r="Y191" s="622">
        <f t="shared" si="13"/>
        <v>1.9200000000000125E-4</v>
      </c>
      <c r="AA191" s="622" t="str">
        <f>IF(U191&gt;'JSM Eingabe+TW'!$CU$92,'JSM Eingabe+TW'!$CU$92," ")</f>
        <v xml:space="preserve"> </v>
      </c>
      <c r="AB191" s="622">
        <f t="shared" si="14"/>
        <v>192</v>
      </c>
    </row>
    <row r="192" spans="19:28" x14ac:dyDescent="0.2">
      <c r="S192" s="692">
        <v>191</v>
      </c>
      <c r="T192" s="703">
        <v>175</v>
      </c>
      <c r="U192" s="692">
        <f>LARGE('JSM Eingabe+TW'!$DJ$32:$DU$62,S192)</f>
        <v>9.9999999999999995E-7</v>
      </c>
      <c r="V192" s="622">
        <f t="shared" si="10"/>
        <v>0</v>
      </c>
      <c r="W192" s="622">
        <f t="shared" si="11"/>
        <v>0</v>
      </c>
      <c r="X192" s="635">
        <f t="shared" si="12"/>
        <v>1.830000000000012E-4</v>
      </c>
      <c r="Y192" s="622">
        <f t="shared" si="13"/>
        <v>1.9100000000000125E-4</v>
      </c>
      <c r="AA192" s="622" t="str">
        <f>IF(U192&gt;'JSM Eingabe+TW'!$CU$92,'JSM Eingabe+TW'!$CU$92," ")</f>
        <v xml:space="preserve"> </v>
      </c>
      <c r="AB192" s="622">
        <f t="shared" si="14"/>
        <v>191</v>
      </c>
    </row>
    <row r="193" spans="19:28" x14ac:dyDescent="0.2">
      <c r="S193" s="692">
        <v>190</v>
      </c>
      <c r="T193" s="703">
        <v>176</v>
      </c>
      <c r="U193" s="692">
        <f>LARGE('JSM Eingabe+TW'!$DJ$32:$DU$62,S193)</f>
        <v>9.9999999999999995E-7</v>
      </c>
      <c r="V193" s="622">
        <f t="shared" si="10"/>
        <v>0</v>
      </c>
      <c r="W193" s="622">
        <f t="shared" si="11"/>
        <v>0</v>
      </c>
      <c r="X193" s="635">
        <f t="shared" si="12"/>
        <v>1.830000000000012E-4</v>
      </c>
      <c r="Y193" s="622">
        <f t="shared" si="13"/>
        <v>1.9000000000000123E-4</v>
      </c>
      <c r="AA193" s="622" t="str">
        <f>IF(U193&gt;'JSM Eingabe+TW'!$CU$92,'JSM Eingabe+TW'!$CU$92," ")</f>
        <v xml:space="preserve"> </v>
      </c>
      <c r="AB193" s="622">
        <f t="shared" si="14"/>
        <v>190</v>
      </c>
    </row>
    <row r="194" spans="19:28" x14ac:dyDescent="0.2">
      <c r="S194" s="692">
        <v>189</v>
      </c>
      <c r="T194" s="703">
        <v>177</v>
      </c>
      <c r="U194" s="692">
        <f>LARGE('JSM Eingabe+TW'!$DJ$32:$DU$62,S194)</f>
        <v>9.9999999999999995E-7</v>
      </c>
      <c r="V194" s="622">
        <f t="shared" si="10"/>
        <v>0</v>
      </c>
      <c r="W194" s="622">
        <f t="shared" si="11"/>
        <v>0</v>
      </c>
      <c r="X194" s="635">
        <f t="shared" si="12"/>
        <v>1.830000000000012E-4</v>
      </c>
      <c r="Y194" s="622">
        <f t="shared" si="13"/>
        <v>1.8900000000000123E-4</v>
      </c>
      <c r="AA194" s="622" t="str">
        <f>IF(U194&gt;'JSM Eingabe+TW'!$CU$92,'JSM Eingabe+TW'!$CU$92," ")</f>
        <v xml:space="preserve"> </v>
      </c>
      <c r="AB194" s="622">
        <f t="shared" si="14"/>
        <v>189</v>
      </c>
    </row>
    <row r="195" spans="19:28" x14ac:dyDescent="0.2">
      <c r="S195" s="692">
        <v>188</v>
      </c>
      <c r="T195" s="703">
        <v>178</v>
      </c>
      <c r="U195" s="692">
        <f>LARGE('JSM Eingabe+TW'!$DJ$32:$DU$62,S195)</f>
        <v>9.9999999999999995E-7</v>
      </c>
      <c r="V195" s="622">
        <f t="shared" si="10"/>
        <v>0</v>
      </c>
      <c r="W195" s="622">
        <f t="shared" si="11"/>
        <v>0</v>
      </c>
      <c r="X195" s="635">
        <f t="shared" si="12"/>
        <v>1.830000000000012E-4</v>
      </c>
      <c r="Y195" s="622">
        <f t="shared" si="13"/>
        <v>1.8800000000000124E-4</v>
      </c>
      <c r="Z195" s="622">
        <f>P$34</f>
        <v>0</v>
      </c>
      <c r="AA195" s="622" t="str">
        <f>IF(U195&gt;'JSM Eingabe+TW'!$CU$92,'JSM Eingabe+TW'!$CU$92," ")</f>
        <v xml:space="preserve"> </v>
      </c>
      <c r="AB195" s="622">
        <f t="shared" si="14"/>
        <v>188</v>
      </c>
    </row>
    <row r="196" spans="19:28" x14ac:dyDescent="0.2">
      <c r="S196" s="692">
        <v>187</v>
      </c>
      <c r="T196" s="703">
        <v>179</v>
      </c>
      <c r="U196" s="692">
        <f>LARGE('JSM Eingabe+TW'!$DJ$32:$DU$62,S196)</f>
        <v>9.9999999999999995E-7</v>
      </c>
      <c r="V196" s="622">
        <f t="shared" si="10"/>
        <v>0</v>
      </c>
      <c r="W196" s="622">
        <f t="shared" si="11"/>
        <v>0</v>
      </c>
      <c r="X196" s="635">
        <f t="shared" si="12"/>
        <v>1.830000000000012E-4</v>
      </c>
      <c r="Y196" s="622">
        <f t="shared" si="13"/>
        <v>1.8700000000000121E-4</v>
      </c>
      <c r="AA196" s="622" t="str">
        <f>IF(U196&gt;'JSM Eingabe+TW'!$CU$92,'JSM Eingabe+TW'!$CU$92," ")</f>
        <v xml:space="preserve"> </v>
      </c>
      <c r="AB196" s="622">
        <f t="shared" si="14"/>
        <v>187</v>
      </c>
    </row>
    <row r="197" spans="19:28" x14ac:dyDescent="0.2">
      <c r="S197" s="692">
        <v>186</v>
      </c>
      <c r="T197" s="703">
        <v>180</v>
      </c>
      <c r="U197" s="692">
        <f>LARGE('JSM Eingabe+TW'!$DJ$32:$DU$62,S197)</f>
        <v>9.9999999999999995E-7</v>
      </c>
      <c r="V197" s="622">
        <f t="shared" si="10"/>
        <v>0</v>
      </c>
      <c r="W197" s="622">
        <f t="shared" si="11"/>
        <v>0</v>
      </c>
      <c r="X197" s="635">
        <f t="shared" si="12"/>
        <v>1.830000000000012E-4</v>
      </c>
      <c r="Y197" s="622">
        <f t="shared" si="13"/>
        <v>1.8600000000000121E-4</v>
      </c>
      <c r="AA197" s="622" t="str">
        <f>IF(U197&gt;'JSM Eingabe+TW'!$CU$92,'JSM Eingabe+TW'!$CU$92," ")</f>
        <v xml:space="preserve"> </v>
      </c>
      <c r="AB197" s="622">
        <f t="shared" si="14"/>
        <v>186</v>
      </c>
    </row>
    <row r="198" spans="19:28" x14ac:dyDescent="0.2">
      <c r="S198" s="692">
        <v>185</v>
      </c>
      <c r="T198" s="703">
        <v>181</v>
      </c>
      <c r="U198" s="692">
        <f>LARGE('JSM Eingabe+TW'!$DJ$32:$DU$62,S198)</f>
        <v>9.9999999999999995E-7</v>
      </c>
      <c r="V198" s="622">
        <f t="shared" si="10"/>
        <v>0</v>
      </c>
      <c r="W198" s="622">
        <f t="shared" si="11"/>
        <v>0</v>
      </c>
      <c r="X198" s="635">
        <f t="shared" si="12"/>
        <v>1.830000000000012E-4</v>
      </c>
      <c r="Y198" s="622">
        <f t="shared" si="13"/>
        <v>1.8500000000000122E-4</v>
      </c>
      <c r="AA198" s="622" t="str">
        <f>IF(U198&gt;'JSM Eingabe+TW'!$CU$92,'JSM Eingabe+TW'!$CU$92," ")</f>
        <v xml:space="preserve"> </v>
      </c>
      <c r="AB198" s="622">
        <f t="shared" si="14"/>
        <v>185</v>
      </c>
    </row>
    <row r="199" spans="19:28" x14ac:dyDescent="0.2">
      <c r="S199" s="692">
        <v>184</v>
      </c>
      <c r="T199" s="703">
        <v>182</v>
      </c>
      <c r="U199" s="692">
        <f>LARGE('JSM Eingabe+TW'!$DJ$32:$DU$62,S199)</f>
        <v>9.9999999999999995E-7</v>
      </c>
      <c r="V199" s="622">
        <f t="shared" si="10"/>
        <v>0</v>
      </c>
      <c r="W199" s="622">
        <f t="shared" si="11"/>
        <v>0</v>
      </c>
      <c r="X199" s="635">
        <f t="shared" si="12"/>
        <v>1.830000000000012E-4</v>
      </c>
      <c r="Y199" s="622">
        <f t="shared" si="13"/>
        <v>1.8400000000000119E-4</v>
      </c>
      <c r="AA199" s="622" t="str">
        <f>IF(U199&gt;'JSM Eingabe+TW'!$CU$92,'JSM Eingabe+TW'!$CU$92," ")</f>
        <v xml:space="preserve"> </v>
      </c>
      <c r="AB199" s="622">
        <f t="shared" si="14"/>
        <v>184</v>
      </c>
    </row>
    <row r="200" spans="19:28" x14ac:dyDescent="0.2">
      <c r="S200" s="692">
        <v>183</v>
      </c>
      <c r="T200" s="703">
        <v>183</v>
      </c>
      <c r="U200" s="692">
        <f>LARGE('JSM Eingabe+TW'!$DJ$32:$DU$62,S200)</f>
        <v>9.9999999999999995E-7</v>
      </c>
      <c r="V200" s="622">
        <f t="shared" si="10"/>
        <v>0</v>
      </c>
      <c r="W200" s="622">
        <f t="shared" si="11"/>
        <v>0</v>
      </c>
      <c r="X200" s="635">
        <f t="shared" si="12"/>
        <v>1.830000000000012E-4</v>
      </c>
      <c r="Y200" s="622">
        <f t="shared" si="13"/>
        <v>1.830000000000012E-4</v>
      </c>
      <c r="Z200" s="622">
        <f>P$34</f>
        <v>0</v>
      </c>
      <c r="AA200" s="622" t="str">
        <f>IF(U200&gt;'JSM Eingabe+TW'!$CU$92,'JSM Eingabe+TW'!$CU$92," ")</f>
        <v xml:space="preserve"> </v>
      </c>
      <c r="AB200" s="622">
        <f t="shared" si="14"/>
        <v>183</v>
      </c>
    </row>
    <row r="201" spans="19:28" x14ac:dyDescent="0.2">
      <c r="S201" s="692">
        <v>182</v>
      </c>
      <c r="T201" s="703">
        <v>184</v>
      </c>
      <c r="U201" s="692">
        <f>LARGE('JSM Eingabe+TW'!$DJ$32:$DU$62,S201)</f>
        <v>9.9999999999999995E-7</v>
      </c>
      <c r="V201" s="622">
        <f t="shared" si="10"/>
        <v>0</v>
      </c>
      <c r="W201" s="622">
        <f t="shared" si="11"/>
        <v>0</v>
      </c>
      <c r="X201" s="635">
        <f t="shared" si="12"/>
        <v>1.830000000000012E-4</v>
      </c>
      <c r="Y201" s="622">
        <f t="shared" si="13"/>
        <v>1.820000000000012E-4</v>
      </c>
      <c r="AA201" s="622" t="str">
        <f>IF(U201&gt;'JSM Eingabe+TW'!$CU$92,'JSM Eingabe+TW'!$CU$92," ")</f>
        <v xml:space="preserve"> </v>
      </c>
      <c r="AB201" s="622">
        <f t="shared" si="14"/>
        <v>182</v>
      </c>
    </row>
    <row r="202" spans="19:28" x14ac:dyDescent="0.2">
      <c r="S202" s="692">
        <v>181</v>
      </c>
      <c r="T202" s="703">
        <v>185</v>
      </c>
      <c r="U202" s="692">
        <f>LARGE('JSM Eingabe+TW'!$DJ$32:$DU$62,S202)</f>
        <v>9.9999999999999995E-7</v>
      </c>
      <c r="V202" s="622">
        <f t="shared" si="10"/>
        <v>0</v>
      </c>
      <c r="W202" s="622">
        <f t="shared" si="11"/>
        <v>0</v>
      </c>
      <c r="X202" s="635">
        <f t="shared" si="12"/>
        <v>1.830000000000012E-4</v>
      </c>
      <c r="Y202" s="622">
        <f t="shared" si="13"/>
        <v>1.8100000000000117E-4</v>
      </c>
      <c r="AA202" s="622" t="str">
        <f>IF(U202&gt;'JSM Eingabe+TW'!$CU$92,'JSM Eingabe+TW'!$CU$92," ")</f>
        <v xml:space="preserve"> </v>
      </c>
      <c r="AB202" s="622">
        <f t="shared" si="14"/>
        <v>181</v>
      </c>
    </row>
    <row r="203" spans="19:28" x14ac:dyDescent="0.2">
      <c r="S203" s="692">
        <v>180</v>
      </c>
      <c r="T203" s="703">
        <v>186</v>
      </c>
      <c r="U203" s="692">
        <f>LARGE('JSM Eingabe+TW'!$DJ$32:$DU$62,S203)</f>
        <v>9.9999999999999995E-7</v>
      </c>
      <c r="V203" s="622">
        <f t="shared" si="10"/>
        <v>0</v>
      </c>
      <c r="W203" s="622">
        <f t="shared" si="11"/>
        <v>0</v>
      </c>
      <c r="X203" s="635">
        <f t="shared" si="12"/>
        <v>1.830000000000012E-4</v>
      </c>
      <c r="Y203" s="622">
        <f t="shared" si="13"/>
        <v>1.8000000000000118E-4</v>
      </c>
      <c r="AA203" s="622" t="str">
        <f>IF(U203&gt;'JSM Eingabe+TW'!$CU$92,'JSM Eingabe+TW'!$CU$92," ")</f>
        <v xml:space="preserve"> </v>
      </c>
      <c r="AB203" s="622">
        <f t="shared" si="14"/>
        <v>180</v>
      </c>
    </row>
    <row r="204" spans="19:28" x14ac:dyDescent="0.2">
      <c r="S204" s="692">
        <v>179</v>
      </c>
      <c r="T204" s="703">
        <v>187</v>
      </c>
      <c r="U204" s="692">
        <f>LARGE('JSM Eingabe+TW'!$DJ$32:$DU$62,S204)</f>
        <v>9.9999999999999995E-7</v>
      </c>
      <c r="V204" s="622">
        <f t="shared" si="10"/>
        <v>0</v>
      </c>
      <c r="W204" s="622">
        <f t="shared" si="11"/>
        <v>0</v>
      </c>
      <c r="X204" s="635">
        <f t="shared" si="12"/>
        <v>1.830000000000012E-4</v>
      </c>
      <c r="Y204" s="622">
        <f t="shared" si="13"/>
        <v>1.7900000000000118E-4</v>
      </c>
      <c r="AA204" s="622" t="str">
        <f>IF(U204&gt;'JSM Eingabe+TW'!$CU$92,'JSM Eingabe+TW'!$CU$92," ")</f>
        <v xml:space="preserve"> </v>
      </c>
      <c r="AB204" s="622">
        <f t="shared" si="14"/>
        <v>179</v>
      </c>
    </row>
    <row r="205" spans="19:28" x14ac:dyDescent="0.2">
      <c r="S205" s="692">
        <v>178</v>
      </c>
      <c r="T205" s="703">
        <v>188</v>
      </c>
      <c r="U205" s="692">
        <f>LARGE('JSM Eingabe+TW'!$DJ$32:$DU$62,S205)</f>
        <v>9.9999999999999995E-7</v>
      </c>
      <c r="V205" s="622">
        <f t="shared" si="10"/>
        <v>0</v>
      </c>
      <c r="W205" s="622">
        <f t="shared" si="11"/>
        <v>0</v>
      </c>
      <c r="X205" s="635">
        <f t="shared" si="12"/>
        <v>1.830000000000012E-4</v>
      </c>
      <c r="Y205" s="622">
        <f t="shared" si="13"/>
        <v>1.7800000000000116E-4</v>
      </c>
      <c r="Z205" s="622">
        <f>P$34</f>
        <v>0</v>
      </c>
      <c r="AA205" s="622" t="str">
        <f>IF(U205&gt;'JSM Eingabe+TW'!$CU$92,'JSM Eingabe+TW'!$CU$92," ")</f>
        <v xml:space="preserve"> </v>
      </c>
      <c r="AB205" s="622">
        <f t="shared" si="14"/>
        <v>178</v>
      </c>
    </row>
    <row r="206" spans="19:28" x14ac:dyDescent="0.2">
      <c r="S206" s="692">
        <v>177</v>
      </c>
      <c r="T206" s="703">
        <v>189</v>
      </c>
      <c r="U206" s="692">
        <f>LARGE('JSM Eingabe+TW'!$DJ$32:$DU$62,S206)</f>
        <v>9.9999999999999995E-7</v>
      </c>
      <c r="V206" s="622">
        <f t="shared" si="10"/>
        <v>0</v>
      </c>
      <c r="W206" s="622">
        <f t="shared" si="11"/>
        <v>0</v>
      </c>
      <c r="X206" s="635">
        <f t="shared" si="12"/>
        <v>1.830000000000012E-4</v>
      </c>
      <c r="Y206" s="622">
        <f t="shared" si="13"/>
        <v>1.7700000000000116E-4</v>
      </c>
      <c r="AA206" s="622" t="str">
        <f>IF(U206&gt;'JSM Eingabe+TW'!$CU$92,'JSM Eingabe+TW'!$CU$92," ")</f>
        <v xml:space="preserve"> </v>
      </c>
      <c r="AB206" s="622">
        <f t="shared" si="14"/>
        <v>177</v>
      </c>
    </row>
    <row r="207" spans="19:28" x14ac:dyDescent="0.2">
      <c r="S207" s="692">
        <v>176</v>
      </c>
      <c r="T207" s="703">
        <v>190</v>
      </c>
      <c r="U207" s="692">
        <f>LARGE('JSM Eingabe+TW'!$DJ$32:$DU$62,S207)</f>
        <v>9.9999999999999995E-7</v>
      </c>
      <c r="V207" s="622">
        <f t="shared" si="10"/>
        <v>0</v>
      </c>
      <c r="W207" s="622">
        <f t="shared" si="11"/>
        <v>0</v>
      </c>
      <c r="X207" s="635">
        <f t="shared" si="12"/>
        <v>1.830000000000012E-4</v>
      </c>
      <c r="Y207" s="622">
        <f t="shared" si="13"/>
        <v>1.7600000000000113E-4</v>
      </c>
      <c r="AA207" s="622" t="str">
        <f>IF(U207&gt;'JSM Eingabe+TW'!$CU$92,'JSM Eingabe+TW'!$CU$92," ")</f>
        <v xml:space="preserve"> </v>
      </c>
      <c r="AB207" s="622">
        <f t="shared" si="14"/>
        <v>176</v>
      </c>
    </row>
    <row r="208" spans="19:28" x14ac:dyDescent="0.2">
      <c r="S208" s="692">
        <v>175</v>
      </c>
      <c r="T208" s="703">
        <v>191</v>
      </c>
      <c r="U208" s="692">
        <f>LARGE('JSM Eingabe+TW'!$DJ$32:$DU$62,S208)</f>
        <v>9.9999999999999995E-7</v>
      </c>
      <c r="V208" s="622">
        <f t="shared" si="10"/>
        <v>0</v>
      </c>
      <c r="W208" s="622">
        <f t="shared" si="11"/>
        <v>0</v>
      </c>
      <c r="X208" s="635">
        <f t="shared" si="12"/>
        <v>1.830000000000012E-4</v>
      </c>
      <c r="Y208" s="622">
        <f t="shared" si="13"/>
        <v>1.7500000000000114E-4</v>
      </c>
      <c r="AA208" s="622" t="str">
        <f>IF(U208&gt;'JSM Eingabe+TW'!$CU$92,'JSM Eingabe+TW'!$CU$92," ")</f>
        <v xml:space="preserve"> </v>
      </c>
      <c r="AB208" s="622">
        <f t="shared" si="14"/>
        <v>175</v>
      </c>
    </row>
    <row r="209" spans="19:28" x14ac:dyDescent="0.2">
      <c r="S209" s="692">
        <v>174</v>
      </c>
      <c r="T209" s="703">
        <v>192</v>
      </c>
      <c r="U209" s="692">
        <f>LARGE('JSM Eingabe+TW'!$DJ$32:$DU$62,S209)</f>
        <v>9.9999999999999995E-7</v>
      </c>
      <c r="V209" s="622">
        <f t="shared" si="10"/>
        <v>0</v>
      </c>
      <c r="W209" s="622">
        <f t="shared" si="11"/>
        <v>0</v>
      </c>
      <c r="X209" s="635">
        <f t="shared" si="12"/>
        <v>1.830000000000012E-4</v>
      </c>
      <c r="Y209" s="622">
        <f t="shared" si="13"/>
        <v>1.7400000000000114E-4</v>
      </c>
      <c r="AA209" s="622" t="str">
        <f>IF(U209&gt;'JSM Eingabe+TW'!$CU$92,'JSM Eingabe+TW'!$CU$92," ")</f>
        <v xml:space="preserve"> </v>
      </c>
      <c r="AB209" s="622">
        <f t="shared" si="14"/>
        <v>174</v>
      </c>
    </row>
    <row r="210" spans="19:28" x14ac:dyDescent="0.2">
      <c r="S210" s="692">
        <v>173</v>
      </c>
      <c r="T210" s="703">
        <v>193</v>
      </c>
      <c r="U210" s="692">
        <f>LARGE('JSM Eingabe+TW'!$DJ$32:$DU$62,S210)</f>
        <v>9.9999999999999995E-7</v>
      </c>
      <c r="V210" s="622">
        <f t="shared" ref="V210:V273" si="15">IF(T210=V$13,LARGE(U$18:U$382,1),0)</f>
        <v>0</v>
      </c>
      <c r="W210" s="622">
        <f t="shared" ref="W210:W273" si="16">IF(T210=W$13,LARGE(U$18:U$382,1),0)</f>
        <v>0</v>
      </c>
      <c r="X210" s="635">
        <f t="shared" ref="X210:X273" si="17">P$35</f>
        <v>1.830000000000012E-4</v>
      </c>
      <c r="Y210" s="622">
        <f t="shared" ref="Y210:Y273" si="18">IF(T210&lt;=$W$13,U210,((U$15-P$34)/(365-W$13)*AB210)+P$34)</f>
        <v>1.7300000000000112E-4</v>
      </c>
      <c r="Z210" s="622">
        <f>P$34</f>
        <v>0</v>
      </c>
      <c r="AA210" s="622" t="str">
        <f>IF(U210&gt;'JSM Eingabe+TW'!$CU$92,'JSM Eingabe+TW'!$CU$92," ")</f>
        <v xml:space="preserve"> </v>
      </c>
      <c r="AB210" s="622">
        <f t="shared" si="14"/>
        <v>173</v>
      </c>
    </row>
    <row r="211" spans="19:28" x14ac:dyDescent="0.2">
      <c r="S211" s="692">
        <v>172</v>
      </c>
      <c r="T211" s="703">
        <v>194</v>
      </c>
      <c r="U211" s="692">
        <f>LARGE('JSM Eingabe+TW'!$DJ$32:$DU$62,S211)</f>
        <v>9.9999999999999995E-7</v>
      </c>
      <c r="V211" s="622">
        <f t="shared" si="15"/>
        <v>0</v>
      </c>
      <c r="W211" s="622">
        <f t="shared" si="16"/>
        <v>0</v>
      </c>
      <c r="X211" s="635">
        <f t="shared" si="17"/>
        <v>1.830000000000012E-4</v>
      </c>
      <c r="Y211" s="622">
        <f t="shared" si="18"/>
        <v>1.7200000000000112E-4</v>
      </c>
      <c r="AA211" s="622" t="str">
        <f>IF(U211&gt;'JSM Eingabe+TW'!$CU$92,'JSM Eingabe+TW'!$CU$92," ")</f>
        <v xml:space="preserve"> </v>
      </c>
      <c r="AB211" s="622">
        <f t="shared" ref="AB211:AB274" si="19">IF(T211&lt;=W$13,0,S211)</f>
        <v>172</v>
      </c>
    </row>
    <row r="212" spans="19:28" x14ac:dyDescent="0.2">
      <c r="S212" s="692">
        <v>171</v>
      </c>
      <c r="T212" s="703">
        <v>195</v>
      </c>
      <c r="U212" s="692">
        <f>LARGE('JSM Eingabe+TW'!$DJ$32:$DU$62,S212)</f>
        <v>9.9999999999999995E-7</v>
      </c>
      <c r="V212" s="622">
        <f t="shared" si="15"/>
        <v>0</v>
      </c>
      <c r="W212" s="622">
        <f t="shared" si="16"/>
        <v>0</v>
      </c>
      <c r="X212" s="635">
        <f t="shared" si="17"/>
        <v>1.830000000000012E-4</v>
      </c>
      <c r="Y212" s="622">
        <f t="shared" si="18"/>
        <v>1.7100000000000112E-4</v>
      </c>
      <c r="AA212" s="622" t="str">
        <f>IF(U212&gt;'JSM Eingabe+TW'!$CU$92,'JSM Eingabe+TW'!$CU$92," ")</f>
        <v xml:space="preserve"> </v>
      </c>
      <c r="AB212" s="622">
        <f t="shared" si="19"/>
        <v>171</v>
      </c>
    </row>
    <row r="213" spans="19:28" x14ac:dyDescent="0.2">
      <c r="S213" s="692">
        <v>170</v>
      </c>
      <c r="T213" s="703">
        <v>196</v>
      </c>
      <c r="U213" s="692">
        <f>LARGE('JSM Eingabe+TW'!$DJ$32:$DU$62,S213)</f>
        <v>9.9999999999999995E-7</v>
      </c>
      <c r="V213" s="622">
        <f t="shared" si="15"/>
        <v>0</v>
      </c>
      <c r="W213" s="622">
        <f t="shared" si="16"/>
        <v>0</v>
      </c>
      <c r="X213" s="635">
        <f t="shared" si="17"/>
        <v>1.830000000000012E-4</v>
      </c>
      <c r="Y213" s="622">
        <f t="shared" si="18"/>
        <v>1.700000000000011E-4</v>
      </c>
      <c r="AA213" s="622" t="str">
        <f>IF(U213&gt;'JSM Eingabe+TW'!$CU$92,'JSM Eingabe+TW'!$CU$92," ")</f>
        <v xml:space="preserve"> </v>
      </c>
      <c r="AB213" s="622">
        <f t="shared" si="19"/>
        <v>170</v>
      </c>
    </row>
    <row r="214" spans="19:28" x14ac:dyDescent="0.2">
      <c r="S214" s="692">
        <v>169</v>
      </c>
      <c r="T214" s="703">
        <v>197</v>
      </c>
      <c r="U214" s="692">
        <f>LARGE('JSM Eingabe+TW'!$DJ$32:$DU$62,S214)</f>
        <v>9.9999999999999995E-7</v>
      </c>
      <c r="V214" s="622">
        <f t="shared" si="15"/>
        <v>0</v>
      </c>
      <c r="W214" s="622">
        <f t="shared" si="16"/>
        <v>0</v>
      </c>
      <c r="X214" s="635">
        <f t="shared" si="17"/>
        <v>1.830000000000012E-4</v>
      </c>
      <c r="Y214" s="622">
        <f t="shared" si="18"/>
        <v>1.690000000000011E-4</v>
      </c>
      <c r="AA214" s="622" t="str">
        <f>IF(U214&gt;'JSM Eingabe+TW'!$CU$92,'JSM Eingabe+TW'!$CU$92," ")</f>
        <v xml:space="preserve"> </v>
      </c>
      <c r="AB214" s="622">
        <f t="shared" si="19"/>
        <v>169</v>
      </c>
    </row>
    <row r="215" spans="19:28" x14ac:dyDescent="0.2">
      <c r="S215" s="692">
        <v>168</v>
      </c>
      <c r="T215" s="703">
        <v>198</v>
      </c>
      <c r="U215" s="692">
        <f>LARGE('JSM Eingabe+TW'!$DJ$32:$DU$62,S215)</f>
        <v>9.9999999999999995E-7</v>
      </c>
      <c r="V215" s="622">
        <f t="shared" si="15"/>
        <v>0</v>
      </c>
      <c r="W215" s="622">
        <f t="shared" si="16"/>
        <v>0</v>
      </c>
      <c r="X215" s="635">
        <f t="shared" si="17"/>
        <v>1.830000000000012E-4</v>
      </c>
      <c r="Y215" s="622">
        <f t="shared" si="18"/>
        <v>1.680000000000011E-4</v>
      </c>
      <c r="Z215" s="622">
        <f>P$34</f>
        <v>0</v>
      </c>
      <c r="AA215" s="622" t="str">
        <f>IF(U215&gt;'JSM Eingabe+TW'!$CU$92,'JSM Eingabe+TW'!$CU$92," ")</f>
        <v xml:space="preserve"> </v>
      </c>
      <c r="AB215" s="622">
        <f t="shared" si="19"/>
        <v>168</v>
      </c>
    </row>
    <row r="216" spans="19:28" x14ac:dyDescent="0.2">
      <c r="S216" s="692">
        <v>167</v>
      </c>
      <c r="T216" s="703">
        <v>199</v>
      </c>
      <c r="U216" s="692">
        <f>LARGE('JSM Eingabe+TW'!$DJ$32:$DU$62,S216)</f>
        <v>9.9999999999999995E-7</v>
      </c>
      <c r="V216" s="622">
        <f t="shared" si="15"/>
        <v>0</v>
      </c>
      <c r="W216" s="622">
        <f t="shared" si="16"/>
        <v>0</v>
      </c>
      <c r="X216" s="635">
        <f t="shared" si="17"/>
        <v>1.830000000000012E-4</v>
      </c>
      <c r="Y216" s="622">
        <f t="shared" si="18"/>
        <v>1.6700000000000108E-4</v>
      </c>
      <c r="AA216" s="622" t="str">
        <f>IF(U216&gt;'JSM Eingabe+TW'!$CU$92,'JSM Eingabe+TW'!$CU$92," ")</f>
        <v xml:space="preserve"> </v>
      </c>
      <c r="AB216" s="622">
        <f t="shared" si="19"/>
        <v>167</v>
      </c>
    </row>
    <row r="217" spans="19:28" x14ac:dyDescent="0.2">
      <c r="S217" s="692">
        <v>166</v>
      </c>
      <c r="T217" s="703">
        <v>200</v>
      </c>
      <c r="U217" s="692">
        <f>LARGE('JSM Eingabe+TW'!$DJ$32:$DU$62,S217)</f>
        <v>9.9999999999999995E-7</v>
      </c>
      <c r="V217" s="622">
        <f t="shared" si="15"/>
        <v>0</v>
      </c>
      <c r="W217" s="622">
        <f t="shared" si="16"/>
        <v>0</v>
      </c>
      <c r="X217" s="635">
        <f t="shared" si="17"/>
        <v>1.830000000000012E-4</v>
      </c>
      <c r="Y217" s="622">
        <f t="shared" si="18"/>
        <v>1.6600000000000108E-4</v>
      </c>
      <c r="AA217" s="622" t="str">
        <f>IF(U217&gt;'JSM Eingabe+TW'!$CU$92,'JSM Eingabe+TW'!$CU$92," ")</f>
        <v xml:space="preserve"> </v>
      </c>
      <c r="AB217" s="622">
        <f t="shared" si="19"/>
        <v>166</v>
      </c>
    </row>
    <row r="218" spans="19:28" x14ac:dyDescent="0.2">
      <c r="S218" s="692">
        <v>165</v>
      </c>
      <c r="T218" s="703">
        <v>201</v>
      </c>
      <c r="U218" s="692">
        <f>LARGE('JSM Eingabe+TW'!$DJ$32:$DU$62,S218)</f>
        <v>9.9999999999999995E-7</v>
      </c>
      <c r="V218" s="622">
        <f t="shared" si="15"/>
        <v>0</v>
      </c>
      <c r="W218" s="622">
        <f t="shared" si="16"/>
        <v>0</v>
      </c>
      <c r="X218" s="635">
        <f t="shared" si="17"/>
        <v>1.830000000000012E-4</v>
      </c>
      <c r="Y218" s="622">
        <f t="shared" si="18"/>
        <v>1.6500000000000108E-4</v>
      </c>
      <c r="AA218" s="622" t="str">
        <f>IF(U218&gt;'JSM Eingabe+TW'!$CU$92,'JSM Eingabe+TW'!$CU$92," ")</f>
        <v xml:space="preserve"> </v>
      </c>
      <c r="AB218" s="622">
        <f t="shared" si="19"/>
        <v>165</v>
      </c>
    </row>
    <row r="219" spans="19:28" x14ac:dyDescent="0.2">
      <c r="S219" s="692">
        <v>164</v>
      </c>
      <c r="T219" s="703">
        <v>202</v>
      </c>
      <c r="U219" s="692">
        <f>LARGE('JSM Eingabe+TW'!$DJ$32:$DU$62,S219)</f>
        <v>9.9999999999999995E-7</v>
      </c>
      <c r="V219" s="622">
        <f t="shared" si="15"/>
        <v>0</v>
      </c>
      <c r="W219" s="622">
        <f t="shared" si="16"/>
        <v>0</v>
      </c>
      <c r="X219" s="635">
        <f t="shared" si="17"/>
        <v>1.830000000000012E-4</v>
      </c>
      <c r="Y219" s="622">
        <f t="shared" si="18"/>
        <v>1.6400000000000106E-4</v>
      </c>
      <c r="AA219" s="622" t="str">
        <f>IF(U219&gt;'JSM Eingabe+TW'!$CU$92,'JSM Eingabe+TW'!$CU$92," ")</f>
        <v xml:space="preserve"> </v>
      </c>
      <c r="AB219" s="622">
        <f t="shared" si="19"/>
        <v>164</v>
      </c>
    </row>
    <row r="220" spans="19:28" x14ac:dyDescent="0.2">
      <c r="S220" s="692">
        <v>163</v>
      </c>
      <c r="T220" s="703">
        <v>203</v>
      </c>
      <c r="U220" s="692">
        <f>LARGE('JSM Eingabe+TW'!$DJ$32:$DU$62,S220)</f>
        <v>9.9999999999999995E-7</v>
      </c>
      <c r="V220" s="622">
        <f t="shared" si="15"/>
        <v>0</v>
      </c>
      <c r="W220" s="622">
        <f t="shared" si="16"/>
        <v>0</v>
      </c>
      <c r="X220" s="635">
        <f t="shared" si="17"/>
        <v>1.830000000000012E-4</v>
      </c>
      <c r="Y220" s="622">
        <f t="shared" si="18"/>
        <v>1.6300000000000106E-4</v>
      </c>
      <c r="Z220" s="622">
        <f>P$34</f>
        <v>0</v>
      </c>
      <c r="AA220" s="622" t="str">
        <f>IF(U220&gt;'JSM Eingabe+TW'!$CU$92,'JSM Eingabe+TW'!$CU$92," ")</f>
        <v xml:space="preserve"> </v>
      </c>
      <c r="AB220" s="622">
        <f t="shared" si="19"/>
        <v>163</v>
      </c>
    </row>
    <row r="221" spans="19:28" x14ac:dyDescent="0.2">
      <c r="S221" s="692">
        <v>162</v>
      </c>
      <c r="T221" s="703">
        <v>204</v>
      </c>
      <c r="U221" s="692">
        <f>LARGE('JSM Eingabe+TW'!$DJ$32:$DU$62,S221)</f>
        <v>9.9999999999999995E-7</v>
      </c>
      <c r="V221" s="622">
        <f t="shared" si="15"/>
        <v>0</v>
      </c>
      <c r="W221" s="622">
        <f t="shared" si="16"/>
        <v>0</v>
      </c>
      <c r="X221" s="635">
        <f t="shared" si="17"/>
        <v>1.830000000000012E-4</v>
      </c>
      <c r="Y221" s="622">
        <f t="shared" si="18"/>
        <v>1.6200000000000106E-4</v>
      </c>
      <c r="AA221" s="622" t="str">
        <f>IF(U221&gt;'JSM Eingabe+TW'!$CU$92,'JSM Eingabe+TW'!$CU$92," ")</f>
        <v xml:space="preserve"> </v>
      </c>
      <c r="AB221" s="622">
        <f t="shared" si="19"/>
        <v>162</v>
      </c>
    </row>
    <row r="222" spans="19:28" x14ac:dyDescent="0.2">
      <c r="S222" s="692">
        <v>161</v>
      </c>
      <c r="T222" s="703">
        <v>205</v>
      </c>
      <c r="U222" s="692">
        <f>LARGE('JSM Eingabe+TW'!$DJ$32:$DU$62,S222)</f>
        <v>9.9999999999999995E-7</v>
      </c>
      <c r="V222" s="622">
        <f t="shared" si="15"/>
        <v>0</v>
      </c>
      <c r="W222" s="622">
        <f t="shared" si="16"/>
        <v>0</v>
      </c>
      <c r="X222" s="635">
        <f t="shared" si="17"/>
        <v>1.830000000000012E-4</v>
      </c>
      <c r="Y222" s="622">
        <f t="shared" si="18"/>
        <v>1.6100000000000104E-4</v>
      </c>
      <c r="AA222" s="622" t="str">
        <f>IF(U222&gt;'JSM Eingabe+TW'!$CU$92,'JSM Eingabe+TW'!$CU$92," ")</f>
        <v xml:space="preserve"> </v>
      </c>
      <c r="AB222" s="622">
        <f t="shared" si="19"/>
        <v>161</v>
      </c>
    </row>
    <row r="223" spans="19:28" x14ac:dyDescent="0.2">
      <c r="S223" s="692">
        <v>160</v>
      </c>
      <c r="T223" s="703">
        <v>206</v>
      </c>
      <c r="U223" s="692">
        <f>LARGE('JSM Eingabe+TW'!$DJ$32:$DU$62,S223)</f>
        <v>9.9999999999999995E-7</v>
      </c>
      <c r="V223" s="622">
        <f t="shared" si="15"/>
        <v>0</v>
      </c>
      <c r="W223" s="622">
        <f t="shared" si="16"/>
        <v>0</v>
      </c>
      <c r="X223" s="635">
        <f t="shared" si="17"/>
        <v>1.830000000000012E-4</v>
      </c>
      <c r="Y223" s="622">
        <f t="shared" si="18"/>
        <v>1.6000000000000104E-4</v>
      </c>
      <c r="AA223" s="622" t="str">
        <f>IF(U223&gt;'JSM Eingabe+TW'!$CU$92,'JSM Eingabe+TW'!$CU$92," ")</f>
        <v xml:space="preserve"> </v>
      </c>
      <c r="AB223" s="622">
        <f t="shared" si="19"/>
        <v>160</v>
      </c>
    </row>
    <row r="224" spans="19:28" x14ac:dyDescent="0.2">
      <c r="S224" s="692">
        <v>159</v>
      </c>
      <c r="T224" s="703">
        <v>207</v>
      </c>
      <c r="U224" s="692">
        <f>LARGE('JSM Eingabe+TW'!$DJ$32:$DU$62,S224)</f>
        <v>9.9999999999999995E-7</v>
      </c>
      <c r="V224" s="622">
        <f t="shared" si="15"/>
        <v>0</v>
      </c>
      <c r="W224" s="622">
        <f t="shared" si="16"/>
        <v>0</v>
      </c>
      <c r="X224" s="635">
        <f t="shared" si="17"/>
        <v>1.830000000000012E-4</v>
      </c>
      <c r="Y224" s="622">
        <f t="shared" si="18"/>
        <v>1.5900000000000105E-4</v>
      </c>
      <c r="AA224" s="622" t="str">
        <f>IF(U224&gt;'JSM Eingabe+TW'!$CU$92,'JSM Eingabe+TW'!$CU$92," ")</f>
        <v xml:space="preserve"> </v>
      </c>
      <c r="AB224" s="622">
        <f t="shared" si="19"/>
        <v>159</v>
      </c>
    </row>
    <row r="225" spans="19:28" x14ac:dyDescent="0.2">
      <c r="S225" s="692">
        <v>158</v>
      </c>
      <c r="T225" s="703">
        <v>208</v>
      </c>
      <c r="U225" s="692">
        <f>LARGE('JSM Eingabe+TW'!$DJ$32:$DU$62,S225)</f>
        <v>9.9999999999999995E-7</v>
      </c>
      <c r="V225" s="622">
        <f t="shared" si="15"/>
        <v>0</v>
      </c>
      <c r="W225" s="622">
        <f t="shared" si="16"/>
        <v>0</v>
      </c>
      <c r="X225" s="635">
        <f t="shared" si="17"/>
        <v>1.830000000000012E-4</v>
      </c>
      <c r="Y225" s="622">
        <f t="shared" si="18"/>
        <v>1.5800000000000102E-4</v>
      </c>
      <c r="Z225" s="622">
        <f>P$34</f>
        <v>0</v>
      </c>
      <c r="AA225" s="622" t="str">
        <f>IF(U225&gt;'JSM Eingabe+TW'!$CU$92,'JSM Eingabe+TW'!$CU$92," ")</f>
        <v xml:space="preserve"> </v>
      </c>
      <c r="AB225" s="622">
        <f t="shared" si="19"/>
        <v>158</v>
      </c>
    </row>
    <row r="226" spans="19:28" x14ac:dyDescent="0.2">
      <c r="S226" s="692">
        <v>157</v>
      </c>
      <c r="T226" s="703">
        <v>209</v>
      </c>
      <c r="U226" s="692">
        <f>LARGE('JSM Eingabe+TW'!$DJ$32:$DU$62,S226)</f>
        <v>9.9999999999999995E-7</v>
      </c>
      <c r="V226" s="622">
        <f t="shared" si="15"/>
        <v>0</v>
      </c>
      <c r="W226" s="622">
        <f t="shared" si="16"/>
        <v>0</v>
      </c>
      <c r="X226" s="635">
        <f t="shared" si="17"/>
        <v>1.830000000000012E-4</v>
      </c>
      <c r="Y226" s="622">
        <f t="shared" si="18"/>
        <v>1.5700000000000102E-4</v>
      </c>
      <c r="AA226" s="622" t="str">
        <f>IF(U226&gt;'JSM Eingabe+TW'!$CU$92,'JSM Eingabe+TW'!$CU$92," ")</f>
        <v xml:space="preserve"> </v>
      </c>
      <c r="AB226" s="622">
        <f t="shared" si="19"/>
        <v>157</v>
      </c>
    </row>
    <row r="227" spans="19:28" x14ac:dyDescent="0.2">
      <c r="S227" s="692">
        <v>156</v>
      </c>
      <c r="T227" s="703">
        <v>210</v>
      </c>
      <c r="U227" s="692">
        <f>LARGE('JSM Eingabe+TW'!$DJ$32:$DU$62,S227)</f>
        <v>9.9999999999999995E-7</v>
      </c>
      <c r="V227" s="622">
        <f t="shared" si="15"/>
        <v>0</v>
      </c>
      <c r="W227" s="622">
        <f t="shared" si="16"/>
        <v>0</v>
      </c>
      <c r="X227" s="635">
        <f t="shared" si="17"/>
        <v>1.830000000000012E-4</v>
      </c>
      <c r="Y227" s="622">
        <f t="shared" si="18"/>
        <v>1.5600000000000103E-4</v>
      </c>
      <c r="AA227" s="622" t="str">
        <f>IF(U227&gt;'JSM Eingabe+TW'!$CU$92,'JSM Eingabe+TW'!$CU$92," ")</f>
        <v xml:space="preserve"> </v>
      </c>
      <c r="AB227" s="622">
        <f t="shared" si="19"/>
        <v>156</v>
      </c>
    </row>
    <row r="228" spans="19:28" x14ac:dyDescent="0.2">
      <c r="S228" s="692">
        <v>155</v>
      </c>
      <c r="T228" s="703">
        <v>211</v>
      </c>
      <c r="U228" s="692">
        <f>LARGE('JSM Eingabe+TW'!$DJ$32:$DU$62,S228)</f>
        <v>9.9999999999999995E-7</v>
      </c>
      <c r="V228" s="622">
        <f t="shared" si="15"/>
        <v>0</v>
      </c>
      <c r="W228" s="622">
        <f t="shared" si="16"/>
        <v>0</v>
      </c>
      <c r="X228" s="635">
        <f t="shared" si="17"/>
        <v>1.830000000000012E-4</v>
      </c>
      <c r="Y228" s="622">
        <f t="shared" si="18"/>
        <v>1.55000000000001E-4</v>
      </c>
      <c r="AA228" s="622" t="str">
        <f>IF(U228&gt;'JSM Eingabe+TW'!$CU$92,'JSM Eingabe+TW'!$CU$92," ")</f>
        <v xml:space="preserve"> </v>
      </c>
      <c r="AB228" s="622">
        <f t="shared" si="19"/>
        <v>155</v>
      </c>
    </row>
    <row r="229" spans="19:28" x14ac:dyDescent="0.2">
      <c r="S229" s="692">
        <v>154</v>
      </c>
      <c r="T229" s="703">
        <v>212</v>
      </c>
      <c r="U229" s="692">
        <f>LARGE('JSM Eingabe+TW'!$DJ$32:$DU$62,S229)</f>
        <v>9.9999999999999995E-7</v>
      </c>
      <c r="V229" s="622">
        <f t="shared" si="15"/>
        <v>0</v>
      </c>
      <c r="W229" s="622">
        <f t="shared" si="16"/>
        <v>0</v>
      </c>
      <c r="X229" s="635">
        <f t="shared" si="17"/>
        <v>1.830000000000012E-4</v>
      </c>
      <c r="Y229" s="622">
        <f t="shared" si="18"/>
        <v>1.5400000000000101E-4</v>
      </c>
      <c r="AA229" s="622" t="str">
        <f>IF(U229&gt;'JSM Eingabe+TW'!$CU$92,'JSM Eingabe+TW'!$CU$92," ")</f>
        <v xml:space="preserve"> </v>
      </c>
      <c r="AB229" s="622">
        <f t="shared" si="19"/>
        <v>154</v>
      </c>
    </row>
    <row r="230" spans="19:28" x14ac:dyDescent="0.2">
      <c r="S230" s="692">
        <v>153</v>
      </c>
      <c r="T230" s="703">
        <v>213</v>
      </c>
      <c r="U230" s="692">
        <f>LARGE('JSM Eingabe+TW'!$DJ$32:$DU$62,S230)</f>
        <v>9.9999999999999995E-7</v>
      </c>
      <c r="V230" s="622">
        <f t="shared" si="15"/>
        <v>0</v>
      </c>
      <c r="W230" s="622">
        <f t="shared" si="16"/>
        <v>0</v>
      </c>
      <c r="X230" s="635">
        <f t="shared" si="17"/>
        <v>1.830000000000012E-4</v>
      </c>
      <c r="Y230" s="622">
        <f t="shared" si="18"/>
        <v>1.5300000000000101E-4</v>
      </c>
      <c r="Z230" s="622">
        <f>P$34</f>
        <v>0</v>
      </c>
      <c r="AA230" s="622" t="str">
        <f>IF(U230&gt;'JSM Eingabe+TW'!$CU$92,'JSM Eingabe+TW'!$CU$92," ")</f>
        <v xml:space="preserve"> </v>
      </c>
      <c r="AB230" s="622">
        <f t="shared" si="19"/>
        <v>153</v>
      </c>
    </row>
    <row r="231" spans="19:28" x14ac:dyDescent="0.2">
      <c r="S231" s="692">
        <v>152</v>
      </c>
      <c r="T231" s="703">
        <v>214</v>
      </c>
      <c r="U231" s="692">
        <f>LARGE('JSM Eingabe+TW'!$DJ$32:$DU$62,S231)</f>
        <v>9.9999999999999995E-7</v>
      </c>
      <c r="V231" s="622">
        <f t="shared" si="15"/>
        <v>0</v>
      </c>
      <c r="W231" s="622">
        <f t="shared" si="16"/>
        <v>0</v>
      </c>
      <c r="X231" s="635">
        <f t="shared" si="17"/>
        <v>1.830000000000012E-4</v>
      </c>
      <c r="Y231" s="622">
        <f t="shared" si="18"/>
        <v>1.5200000000000098E-4</v>
      </c>
      <c r="AA231" s="622" t="str">
        <f>IF(U231&gt;'JSM Eingabe+TW'!$CU$92,'JSM Eingabe+TW'!$CU$92," ")</f>
        <v xml:space="preserve"> </v>
      </c>
      <c r="AB231" s="622">
        <f t="shared" si="19"/>
        <v>152</v>
      </c>
    </row>
    <row r="232" spans="19:28" x14ac:dyDescent="0.2">
      <c r="S232" s="692">
        <v>151</v>
      </c>
      <c r="T232" s="703">
        <v>215</v>
      </c>
      <c r="U232" s="692">
        <f>LARGE('JSM Eingabe+TW'!$DJ$32:$DU$62,S232)</f>
        <v>9.9999999999999995E-7</v>
      </c>
      <c r="V232" s="622">
        <f t="shared" si="15"/>
        <v>0</v>
      </c>
      <c r="W232" s="622">
        <f t="shared" si="16"/>
        <v>0</v>
      </c>
      <c r="X232" s="635">
        <f t="shared" si="17"/>
        <v>1.830000000000012E-4</v>
      </c>
      <c r="Y232" s="622">
        <f t="shared" si="18"/>
        <v>1.5100000000000099E-4</v>
      </c>
      <c r="AA232" s="622" t="str">
        <f>IF(U232&gt;'JSM Eingabe+TW'!$CU$92,'JSM Eingabe+TW'!$CU$92," ")</f>
        <v xml:space="preserve"> </v>
      </c>
      <c r="AB232" s="622">
        <f t="shared" si="19"/>
        <v>151</v>
      </c>
    </row>
    <row r="233" spans="19:28" x14ac:dyDescent="0.2">
      <c r="S233" s="692">
        <v>150</v>
      </c>
      <c r="T233" s="703">
        <v>216</v>
      </c>
      <c r="U233" s="692">
        <f>LARGE('JSM Eingabe+TW'!$DJ$32:$DU$62,S233)</f>
        <v>9.9999999999999995E-7</v>
      </c>
      <c r="V233" s="622">
        <f t="shared" si="15"/>
        <v>0</v>
      </c>
      <c r="W233" s="622">
        <f t="shared" si="16"/>
        <v>0</v>
      </c>
      <c r="X233" s="635">
        <f t="shared" si="17"/>
        <v>1.830000000000012E-4</v>
      </c>
      <c r="Y233" s="622">
        <f t="shared" si="18"/>
        <v>1.5000000000000099E-4</v>
      </c>
      <c r="AA233" s="622" t="str">
        <f>IF(U233&gt;'JSM Eingabe+TW'!$CU$92,'JSM Eingabe+TW'!$CU$92," ")</f>
        <v xml:space="preserve"> </v>
      </c>
      <c r="AB233" s="622">
        <f t="shared" si="19"/>
        <v>150</v>
      </c>
    </row>
    <row r="234" spans="19:28" x14ac:dyDescent="0.2">
      <c r="S234" s="692">
        <v>149</v>
      </c>
      <c r="T234" s="703">
        <v>217</v>
      </c>
      <c r="U234" s="692">
        <f>LARGE('JSM Eingabe+TW'!$DJ$32:$DU$62,S234)</f>
        <v>9.9999999999999995E-7</v>
      </c>
      <c r="V234" s="622">
        <f t="shared" si="15"/>
        <v>0</v>
      </c>
      <c r="W234" s="622">
        <f t="shared" si="16"/>
        <v>0</v>
      </c>
      <c r="X234" s="635">
        <f t="shared" si="17"/>
        <v>1.830000000000012E-4</v>
      </c>
      <c r="Y234" s="622">
        <f t="shared" si="18"/>
        <v>1.4900000000000097E-4</v>
      </c>
      <c r="AA234" s="622" t="str">
        <f>IF(U234&gt;'JSM Eingabe+TW'!$CU$92,'JSM Eingabe+TW'!$CU$92," ")</f>
        <v xml:space="preserve"> </v>
      </c>
      <c r="AB234" s="622">
        <f t="shared" si="19"/>
        <v>149</v>
      </c>
    </row>
    <row r="235" spans="19:28" x14ac:dyDescent="0.2">
      <c r="S235" s="692">
        <v>148</v>
      </c>
      <c r="T235" s="703">
        <v>218</v>
      </c>
      <c r="U235" s="692">
        <f>LARGE('JSM Eingabe+TW'!$DJ$32:$DU$62,S235)</f>
        <v>9.9999999999999995E-7</v>
      </c>
      <c r="V235" s="622">
        <f t="shared" si="15"/>
        <v>0</v>
      </c>
      <c r="W235" s="622">
        <f t="shared" si="16"/>
        <v>0</v>
      </c>
      <c r="X235" s="635">
        <f t="shared" si="17"/>
        <v>1.830000000000012E-4</v>
      </c>
      <c r="Y235" s="622">
        <f t="shared" si="18"/>
        <v>1.4800000000000097E-4</v>
      </c>
      <c r="Z235" s="622">
        <f>P$34</f>
        <v>0</v>
      </c>
      <c r="AA235" s="622" t="str">
        <f>IF(U235&gt;'JSM Eingabe+TW'!$CU$92,'JSM Eingabe+TW'!$CU$92," ")</f>
        <v xml:space="preserve"> </v>
      </c>
      <c r="AB235" s="622">
        <f t="shared" si="19"/>
        <v>148</v>
      </c>
    </row>
    <row r="236" spans="19:28" x14ac:dyDescent="0.2">
      <c r="S236" s="692">
        <v>147</v>
      </c>
      <c r="T236" s="703">
        <v>219</v>
      </c>
      <c r="U236" s="692">
        <f>LARGE('JSM Eingabe+TW'!$DJ$32:$DU$62,S236)</f>
        <v>9.9999999999999995E-7</v>
      </c>
      <c r="V236" s="622">
        <f t="shared" si="15"/>
        <v>0</v>
      </c>
      <c r="W236" s="622">
        <f t="shared" si="16"/>
        <v>0</v>
      </c>
      <c r="X236" s="635">
        <f t="shared" si="17"/>
        <v>1.830000000000012E-4</v>
      </c>
      <c r="Y236" s="622">
        <f t="shared" si="18"/>
        <v>1.4700000000000097E-4</v>
      </c>
      <c r="AA236" s="622" t="str">
        <f>IF(U236&gt;'JSM Eingabe+TW'!$CU$92,'JSM Eingabe+TW'!$CU$92," ")</f>
        <v xml:space="preserve"> </v>
      </c>
      <c r="AB236" s="622">
        <f t="shared" si="19"/>
        <v>147</v>
      </c>
    </row>
    <row r="237" spans="19:28" x14ac:dyDescent="0.2">
      <c r="S237" s="692">
        <v>146</v>
      </c>
      <c r="T237" s="703">
        <v>220</v>
      </c>
      <c r="U237" s="692">
        <f>LARGE('JSM Eingabe+TW'!$DJ$32:$DU$62,S237)</f>
        <v>9.9999999999999995E-7</v>
      </c>
      <c r="V237" s="622">
        <f t="shared" si="15"/>
        <v>0</v>
      </c>
      <c r="W237" s="622">
        <f t="shared" si="16"/>
        <v>0</v>
      </c>
      <c r="X237" s="635">
        <f t="shared" si="17"/>
        <v>1.830000000000012E-4</v>
      </c>
      <c r="Y237" s="622">
        <f t="shared" si="18"/>
        <v>1.4600000000000095E-4</v>
      </c>
      <c r="AA237" s="622" t="str">
        <f>IF(U237&gt;'JSM Eingabe+TW'!$CU$92,'JSM Eingabe+TW'!$CU$92," ")</f>
        <v xml:space="preserve"> </v>
      </c>
      <c r="AB237" s="622">
        <f t="shared" si="19"/>
        <v>146</v>
      </c>
    </row>
    <row r="238" spans="19:28" x14ac:dyDescent="0.2">
      <c r="S238" s="692">
        <v>145</v>
      </c>
      <c r="T238" s="703">
        <v>221</v>
      </c>
      <c r="U238" s="692">
        <f>LARGE('JSM Eingabe+TW'!$DJ$32:$DU$62,S238)</f>
        <v>9.9999999999999995E-7</v>
      </c>
      <c r="V238" s="622">
        <f t="shared" si="15"/>
        <v>0</v>
      </c>
      <c r="W238" s="622">
        <f t="shared" si="16"/>
        <v>0</v>
      </c>
      <c r="X238" s="635">
        <f t="shared" si="17"/>
        <v>1.830000000000012E-4</v>
      </c>
      <c r="Y238" s="622">
        <f t="shared" si="18"/>
        <v>1.4500000000000095E-4</v>
      </c>
      <c r="AA238" s="622" t="str">
        <f>IF(U238&gt;'JSM Eingabe+TW'!$CU$92,'JSM Eingabe+TW'!$CU$92," ")</f>
        <v xml:space="preserve"> </v>
      </c>
      <c r="AB238" s="622">
        <f t="shared" si="19"/>
        <v>145</v>
      </c>
    </row>
    <row r="239" spans="19:28" x14ac:dyDescent="0.2">
      <c r="S239" s="692">
        <v>144</v>
      </c>
      <c r="T239" s="703">
        <v>222</v>
      </c>
      <c r="U239" s="692">
        <f>LARGE('JSM Eingabe+TW'!$DJ$32:$DU$62,S239)</f>
        <v>9.9999999999999995E-7</v>
      </c>
      <c r="V239" s="622">
        <f t="shared" si="15"/>
        <v>0</v>
      </c>
      <c r="W239" s="622">
        <f t="shared" si="16"/>
        <v>0</v>
      </c>
      <c r="X239" s="635">
        <f t="shared" si="17"/>
        <v>1.830000000000012E-4</v>
      </c>
      <c r="Y239" s="622">
        <f t="shared" si="18"/>
        <v>1.4400000000000095E-4</v>
      </c>
      <c r="AA239" s="622" t="str">
        <f>IF(U239&gt;'JSM Eingabe+TW'!$CU$92,'JSM Eingabe+TW'!$CU$92," ")</f>
        <v xml:space="preserve"> </v>
      </c>
      <c r="AB239" s="622">
        <f t="shared" si="19"/>
        <v>144</v>
      </c>
    </row>
    <row r="240" spans="19:28" x14ac:dyDescent="0.2">
      <c r="S240" s="692">
        <v>143</v>
      </c>
      <c r="T240" s="703">
        <v>223</v>
      </c>
      <c r="U240" s="692">
        <f>LARGE('JSM Eingabe+TW'!$DJ$32:$DU$62,S240)</f>
        <v>9.9999999999999995E-7</v>
      </c>
      <c r="V240" s="622">
        <f t="shared" si="15"/>
        <v>0</v>
      </c>
      <c r="W240" s="622">
        <f t="shared" si="16"/>
        <v>0</v>
      </c>
      <c r="X240" s="635">
        <f t="shared" si="17"/>
        <v>1.830000000000012E-4</v>
      </c>
      <c r="Y240" s="622">
        <f t="shared" si="18"/>
        <v>1.4300000000000093E-4</v>
      </c>
      <c r="Z240" s="622">
        <f>P$34</f>
        <v>0</v>
      </c>
      <c r="AA240" s="622" t="str">
        <f>IF(U240&gt;'JSM Eingabe+TW'!$CU$92,'JSM Eingabe+TW'!$CU$92," ")</f>
        <v xml:space="preserve"> </v>
      </c>
      <c r="AB240" s="622">
        <f t="shared" si="19"/>
        <v>143</v>
      </c>
    </row>
    <row r="241" spans="19:28" x14ac:dyDescent="0.2">
      <c r="S241" s="692">
        <v>142</v>
      </c>
      <c r="T241" s="703">
        <v>224</v>
      </c>
      <c r="U241" s="692">
        <f>LARGE('JSM Eingabe+TW'!$DJ$32:$DU$62,S241)</f>
        <v>9.9999999999999995E-7</v>
      </c>
      <c r="V241" s="622">
        <f t="shared" si="15"/>
        <v>0</v>
      </c>
      <c r="W241" s="622">
        <f t="shared" si="16"/>
        <v>0</v>
      </c>
      <c r="X241" s="635">
        <f t="shared" si="17"/>
        <v>1.830000000000012E-4</v>
      </c>
      <c r="Y241" s="622">
        <f t="shared" si="18"/>
        <v>1.4200000000000093E-4</v>
      </c>
      <c r="AA241" s="622" t="str">
        <f>IF(U241&gt;'JSM Eingabe+TW'!$CU$92,'JSM Eingabe+TW'!$CU$92," ")</f>
        <v xml:space="preserve"> </v>
      </c>
      <c r="AB241" s="622">
        <f t="shared" si="19"/>
        <v>142</v>
      </c>
    </row>
    <row r="242" spans="19:28" x14ac:dyDescent="0.2">
      <c r="S242" s="692">
        <v>141</v>
      </c>
      <c r="T242" s="703">
        <v>225</v>
      </c>
      <c r="U242" s="692">
        <f>LARGE('JSM Eingabe+TW'!$DJ$32:$DU$62,S242)</f>
        <v>9.9999999999999995E-7</v>
      </c>
      <c r="V242" s="622">
        <f t="shared" si="15"/>
        <v>0</v>
      </c>
      <c r="W242" s="622">
        <f t="shared" si="16"/>
        <v>0</v>
      </c>
      <c r="X242" s="635">
        <f t="shared" si="17"/>
        <v>1.830000000000012E-4</v>
      </c>
      <c r="Y242" s="622">
        <f t="shared" si="18"/>
        <v>1.4100000000000091E-4</v>
      </c>
      <c r="AA242" s="622" t="str">
        <f>IF(U242&gt;'JSM Eingabe+TW'!$CU$92,'JSM Eingabe+TW'!$CU$92," ")</f>
        <v xml:space="preserve"> </v>
      </c>
      <c r="AB242" s="622">
        <f t="shared" si="19"/>
        <v>141</v>
      </c>
    </row>
    <row r="243" spans="19:28" x14ac:dyDescent="0.2">
      <c r="S243" s="692">
        <v>140</v>
      </c>
      <c r="T243" s="703">
        <v>226</v>
      </c>
      <c r="U243" s="692">
        <f>LARGE('JSM Eingabe+TW'!$DJ$32:$DU$62,S243)</f>
        <v>9.9999999999999995E-7</v>
      </c>
      <c r="V243" s="622">
        <f t="shared" si="15"/>
        <v>0</v>
      </c>
      <c r="W243" s="622">
        <f t="shared" si="16"/>
        <v>0</v>
      </c>
      <c r="X243" s="635">
        <f t="shared" si="17"/>
        <v>1.830000000000012E-4</v>
      </c>
      <c r="Y243" s="622">
        <f t="shared" si="18"/>
        <v>1.4000000000000091E-4</v>
      </c>
      <c r="AA243" s="622" t="str">
        <f>IF(U243&gt;'JSM Eingabe+TW'!$CU$92,'JSM Eingabe+TW'!$CU$92," ")</f>
        <v xml:space="preserve"> </v>
      </c>
      <c r="AB243" s="622">
        <f t="shared" si="19"/>
        <v>140</v>
      </c>
    </row>
    <row r="244" spans="19:28" x14ac:dyDescent="0.2">
      <c r="S244" s="692">
        <v>139</v>
      </c>
      <c r="T244" s="703">
        <v>227</v>
      </c>
      <c r="U244" s="692">
        <f>LARGE('JSM Eingabe+TW'!$DJ$32:$DU$62,S244)</f>
        <v>9.9999999999999995E-7</v>
      </c>
      <c r="V244" s="622">
        <f t="shared" si="15"/>
        <v>0</v>
      </c>
      <c r="W244" s="622">
        <f t="shared" si="16"/>
        <v>0</v>
      </c>
      <c r="X244" s="635">
        <f t="shared" si="17"/>
        <v>1.830000000000012E-4</v>
      </c>
      <c r="Y244" s="622">
        <f t="shared" si="18"/>
        <v>1.3900000000000091E-4</v>
      </c>
      <c r="AA244" s="622" t="str">
        <f>IF(U244&gt;'JSM Eingabe+TW'!$CU$92,'JSM Eingabe+TW'!$CU$92," ")</f>
        <v xml:space="preserve"> </v>
      </c>
      <c r="AB244" s="622">
        <f t="shared" si="19"/>
        <v>139</v>
      </c>
    </row>
    <row r="245" spans="19:28" x14ac:dyDescent="0.2">
      <c r="S245" s="692">
        <v>138</v>
      </c>
      <c r="T245" s="703">
        <v>228</v>
      </c>
      <c r="U245" s="692">
        <f>LARGE('JSM Eingabe+TW'!$DJ$32:$DU$62,S245)</f>
        <v>9.9999999999999995E-7</v>
      </c>
      <c r="V245" s="622">
        <f t="shared" si="15"/>
        <v>0</v>
      </c>
      <c r="W245" s="622">
        <f t="shared" si="16"/>
        <v>0</v>
      </c>
      <c r="X245" s="635">
        <f t="shared" si="17"/>
        <v>1.830000000000012E-4</v>
      </c>
      <c r="Y245" s="622">
        <f t="shared" si="18"/>
        <v>1.3800000000000089E-4</v>
      </c>
      <c r="Z245" s="622">
        <f>P$34</f>
        <v>0</v>
      </c>
      <c r="AA245" s="622" t="str">
        <f>IF(U245&gt;'JSM Eingabe+TW'!$CU$92,'JSM Eingabe+TW'!$CU$92," ")</f>
        <v xml:space="preserve"> </v>
      </c>
      <c r="AB245" s="622">
        <f t="shared" si="19"/>
        <v>138</v>
      </c>
    </row>
    <row r="246" spans="19:28" x14ac:dyDescent="0.2">
      <c r="S246" s="692">
        <v>137</v>
      </c>
      <c r="T246" s="703">
        <v>229</v>
      </c>
      <c r="U246" s="692">
        <f>LARGE('JSM Eingabe+TW'!$DJ$32:$DU$62,S246)</f>
        <v>9.9999999999999995E-7</v>
      </c>
      <c r="V246" s="622">
        <f t="shared" si="15"/>
        <v>0</v>
      </c>
      <c r="W246" s="622">
        <f t="shared" si="16"/>
        <v>0</v>
      </c>
      <c r="X246" s="635">
        <f t="shared" si="17"/>
        <v>1.830000000000012E-4</v>
      </c>
      <c r="Y246" s="622">
        <f t="shared" si="18"/>
        <v>1.3700000000000089E-4</v>
      </c>
      <c r="AA246" s="622" t="str">
        <f>IF(U246&gt;'JSM Eingabe+TW'!$CU$92,'JSM Eingabe+TW'!$CU$92," ")</f>
        <v xml:space="preserve"> </v>
      </c>
      <c r="AB246" s="622">
        <f t="shared" si="19"/>
        <v>137</v>
      </c>
    </row>
    <row r="247" spans="19:28" x14ac:dyDescent="0.2">
      <c r="S247" s="692">
        <v>136</v>
      </c>
      <c r="T247" s="703">
        <v>230</v>
      </c>
      <c r="U247" s="692">
        <f>LARGE('JSM Eingabe+TW'!$DJ$32:$DU$62,S247)</f>
        <v>9.9999999999999995E-7</v>
      </c>
      <c r="V247" s="622">
        <f t="shared" si="15"/>
        <v>0</v>
      </c>
      <c r="W247" s="622">
        <f t="shared" si="16"/>
        <v>0</v>
      </c>
      <c r="X247" s="635">
        <f t="shared" si="17"/>
        <v>1.830000000000012E-4</v>
      </c>
      <c r="Y247" s="622">
        <f t="shared" si="18"/>
        <v>1.3600000000000089E-4</v>
      </c>
      <c r="AA247" s="622" t="str">
        <f>IF(U247&gt;'JSM Eingabe+TW'!$CU$92,'JSM Eingabe+TW'!$CU$92," ")</f>
        <v xml:space="preserve"> </v>
      </c>
      <c r="AB247" s="622">
        <f t="shared" si="19"/>
        <v>136</v>
      </c>
    </row>
    <row r="248" spans="19:28" x14ac:dyDescent="0.2">
      <c r="S248" s="692">
        <v>135</v>
      </c>
      <c r="T248" s="703">
        <v>231</v>
      </c>
      <c r="U248" s="692">
        <f>LARGE('JSM Eingabe+TW'!$DJ$32:$DU$62,S248)</f>
        <v>9.9999999999999995E-7</v>
      </c>
      <c r="V248" s="622">
        <f t="shared" si="15"/>
        <v>0</v>
      </c>
      <c r="W248" s="622">
        <f t="shared" si="16"/>
        <v>0</v>
      </c>
      <c r="X248" s="635">
        <f t="shared" si="17"/>
        <v>1.830000000000012E-4</v>
      </c>
      <c r="Y248" s="622">
        <f t="shared" si="18"/>
        <v>1.3500000000000087E-4</v>
      </c>
      <c r="AA248" s="622" t="str">
        <f>IF(U248&gt;'JSM Eingabe+TW'!$CU$92,'JSM Eingabe+TW'!$CU$92," ")</f>
        <v xml:space="preserve"> </v>
      </c>
      <c r="AB248" s="622">
        <f t="shared" si="19"/>
        <v>135</v>
      </c>
    </row>
    <row r="249" spans="19:28" x14ac:dyDescent="0.2">
      <c r="S249" s="692">
        <v>134</v>
      </c>
      <c r="T249" s="703">
        <v>232</v>
      </c>
      <c r="U249" s="692">
        <f>LARGE('JSM Eingabe+TW'!$DJ$32:$DU$62,S249)</f>
        <v>9.9999999999999995E-7</v>
      </c>
      <c r="V249" s="622">
        <f t="shared" si="15"/>
        <v>0</v>
      </c>
      <c r="W249" s="622">
        <f t="shared" si="16"/>
        <v>0</v>
      </c>
      <c r="X249" s="635">
        <f t="shared" si="17"/>
        <v>1.830000000000012E-4</v>
      </c>
      <c r="Y249" s="622">
        <f t="shared" si="18"/>
        <v>1.3400000000000087E-4</v>
      </c>
      <c r="AA249" s="622" t="str">
        <f>IF(U249&gt;'JSM Eingabe+TW'!$CU$92,'JSM Eingabe+TW'!$CU$92," ")</f>
        <v xml:space="preserve"> </v>
      </c>
      <c r="AB249" s="622">
        <f t="shared" si="19"/>
        <v>134</v>
      </c>
    </row>
    <row r="250" spans="19:28" x14ac:dyDescent="0.2">
      <c r="S250" s="692">
        <v>133</v>
      </c>
      <c r="T250" s="703">
        <v>233</v>
      </c>
      <c r="U250" s="692">
        <f>LARGE('JSM Eingabe+TW'!$DJ$32:$DU$62,S250)</f>
        <v>9.9999999999999995E-7</v>
      </c>
      <c r="V250" s="622">
        <f t="shared" si="15"/>
        <v>0</v>
      </c>
      <c r="W250" s="622">
        <f t="shared" si="16"/>
        <v>0</v>
      </c>
      <c r="X250" s="635">
        <f t="shared" si="17"/>
        <v>1.830000000000012E-4</v>
      </c>
      <c r="Y250" s="622">
        <f t="shared" si="18"/>
        <v>1.3300000000000087E-4</v>
      </c>
      <c r="Z250" s="622">
        <f>P$34</f>
        <v>0</v>
      </c>
      <c r="AA250" s="622" t="str">
        <f>IF(U250&gt;'JSM Eingabe+TW'!$CU$92,'JSM Eingabe+TW'!$CU$92," ")</f>
        <v xml:space="preserve"> </v>
      </c>
      <c r="AB250" s="622">
        <f t="shared" si="19"/>
        <v>133</v>
      </c>
    </row>
    <row r="251" spans="19:28" x14ac:dyDescent="0.2">
      <c r="S251" s="692">
        <v>132</v>
      </c>
      <c r="T251" s="703">
        <v>234</v>
      </c>
      <c r="U251" s="692">
        <f>LARGE('JSM Eingabe+TW'!$DJ$32:$DU$62,S251)</f>
        <v>9.9999999999999995E-7</v>
      </c>
      <c r="V251" s="622">
        <f t="shared" si="15"/>
        <v>0</v>
      </c>
      <c r="W251" s="622">
        <f t="shared" si="16"/>
        <v>0</v>
      </c>
      <c r="X251" s="635">
        <f t="shared" si="17"/>
        <v>1.830000000000012E-4</v>
      </c>
      <c r="Y251" s="622">
        <f t="shared" si="18"/>
        <v>1.3200000000000085E-4</v>
      </c>
      <c r="AA251" s="622" t="str">
        <f>IF(U251&gt;'JSM Eingabe+TW'!$CU$92,'JSM Eingabe+TW'!$CU$92," ")</f>
        <v xml:space="preserve"> </v>
      </c>
      <c r="AB251" s="622">
        <f t="shared" si="19"/>
        <v>132</v>
      </c>
    </row>
    <row r="252" spans="19:28" x14ac:dyDescent="0.2">
      <c r="S252" s="692">
        <v>131</v>
      </c>
      <c r="T252" s="703">
        <v>235</v>
      </c>
      <c r="U252" s="692">
        <f>LARGE('JSM Eingabe+TW'!$DJ$32:$DU$62,S252)</f>
        <v>9.9999999999999995E-7</v>
      </c>
      <c r="V252" s="622">
        <f t="shared" si="15"/>
        <v>0</v>
      </c>
      <c r="W252" s="622">
        <f t="shared" si="16"/>
        <v>0</v>
      </c>
      <c r="X252" s="635">
        <f t="shared" si="17"/>
        <v>1.830000000000012E-4</v>
      </c>
      <c r="Y252" s="622">
        <f t="shared" si="18"/>
        <v>1.3100000000000085E-4</v>
      </c>
      <c r="AA252" s="622" t="str">
        <f>IF(U252&gt;'JSM Eingabe+TW'!$CU$92,'JSM Eingabe+TW'!$CU$92," ")</f>
        <v xml:space="preserve"> </v>
      </c>
      <c r="AB252" s="622">
        <f t="shared" si="19"/>
        <v>131</v>
      </c>
    </row>
    <row r="253" spans="19:28" x14ac:dyDescent="0.2">
      <c r="S253" s="692">
        <v>130</v>
      </c>
      <c r="T253" s="703">
        <v>236</v>
      </c>
      <c r="U253" s="692">
        <f>LARGE('JSM Eingabe+TW'!$DJ$32:$DU$62,S253)</f>
        <v>9.9999999999999995E-7</v>
      </c>
      <c r="V253" s="622">
        <f t="shared" si="15"/>
        <v>0</v>
      </c>
      <c r="W253" s="622">
        <f t="shared" si="16"/>
        <v>0</v>
      </c>
      <c r="X253" s="635">
        <f t="shared" si="17"/>
        <v>1.830000000000012E-4</v>
      </c>
      <c r="Y253" s="622">
        <f t="shared" si="18"/>
        <v>1.3000000000000086E-4</v>
      </c>
      <c r="AA253" s="622" t="str">
        <f>IF(U253&gt;'JSM Eingabe+TW'!$CU$92,'JSM Eingabe+TW'!$CU$92," ")</f>
        <v xml:space="preserve"> </v>
      </c>
      <c r="AB253" s="622">
        <f t="shared" si="19"/>
        <v>130</v>
      </c>
    </row>
    <row r="254" spans="19:28" x14ac:dyDescent="0.2">
      <c r="S254" s="692">
        <v>129</v>
      </c>
      <c r="T254" s="703">
        <v>237</v>
      </c>
      <c r="U254" s="692">
        <f>LARGE('JSM Eingabe+TW'!$DJ$32:$DU$62,S254)</f>
        <v>9.9999999999999995E-7</v>
      </c>
      <c r="V254" s="622">
        <f t="shared" si="15"/>
        <v>0</v>
      </c>
      <c r="W254" s="622">
        <f t="shared" si="16"/>
        <v>0</v>
      </c>
      <c r="X254" s="635">
        <f t="shared" si="17"/>
        <v>1.830000000000012E-4</v>
      </c>
      <c r="Y254" s="622">
        <f t="shared" si="18"/>
        <v>1.2900000000000083E-4</v>
      </c>
      <c r="AA254" s="622" t="str">
        <f>IF(U254&gt;'JSM Eingabe+TW'!$CU$92,'JSM Eingabe+TW'!$CU$92," ")</f>
        <v xml:space="preserve"> </v>
      </c>
      <c r="AB254" s="622">
        <f t="shared" si="19"/>
        <v>129</v>
      </c>
    </row>
    <row r="255" spans="19:28" x14ac:dyDescent="0.2">
      <c r="S255" s="692">
        <v>128</v>
      </c>
      <c r="T255" s="703">
        <v>238</v>
      </c>
      <c r="U255" s="692">
        <f>LARGE('JSM Eingabe+TW'!$DJ$32:$DU$62,S255)</f>
        <v>9.9999999999999995E-7</v>
      </c>
      <c r="V255" s="622">
        <f t="shared" si="15"/>
        <v>0</v>
      </c>
      <c r="W255" s="622">
        <f t="shared" si="16"/>
        <v>0</v>
      </c>
      <c r="X255" s="635">
        <f t="shared" si="17"/>
        <v>1.830000000000012E-4</v>
      </c>
      <c r="Y255" s="622">
        <f t="shared" si="18"/>
        <v>1.2800000000000083E-4</v>
      </c>
      <c r="Z255" s="622">
        <f>P$34</f>
        <v>0</v>
      </c>
      <c r="AA255" s="622" t="str">
        <f>IF(U255&gt;'JSM Eingabe+TW'!$CU$92,'JSM Eingabe+TW'!$CU$92," ")</f>
        <v xml:space="preserve"> </v>
      </c>
      <c r="AB255" s="622">
        <f t="shared" si="19"/>
        <v>128</v>
      </c>
    </row>
    <row r="256" spans="19:28" x14ac:dyDescent="0.2">
      <c r="S256" s="692">
        <v>127</v>
      </c>
      <c r="T256" s="703">
        <v>239</v>
      </c>
      <c r="U256" s="692">
        <f>LARGE('JSM Eingabe+TW'!$DJ$32:$DU$62,S256)</f>
        <v>9.9999999999999995E-7</v>
      </c>
      <c r="V256" s="622">
        <f t="shared" si="15"/>
        <v>0</v>
      </c>
      <c r="W256" s="622">
        <f t="shared" si="16"/>
        <v>0</v>
      </c>
      <c r="X256" s="635">
        <f t="shared" si="17"/>
        <v>1.830000000000012E-4</v>
      </c>
      <c r="Y256" s="622">
        <f t="shared" si="18"/>
        <v>1.2700000000000084E-4</v>
      </c>
      <c r="AA256" s="622" t="str">
        <f>IF(U256&gt;'JSM Eingabe+TW'!$CU$92,'JSM Eingabe+TW'!$CU$92," ")</f>
        <v xml:space="preserve"> </v>
      </c>
      <c r="AB256" s="622">
        <f t="shared" si="19"/>
        <v>127</v>
      </c>
    </row>
    <row r="257" spans="19:28" x14ac:dyDescent="0.2">
      <c r="S257" s="692">
        <v>126</v>
      </c>
      <c r="T257" s="703">
        <v>240</v>
      </c>
      <c r="U257" s="692">
        <f>LARGE('JSM Eingabe+TW'!$DJ$32:$DU$62,S257)</f>
        <v>9.9999999999999995E-7</v>
      </c>
      <c r="V257" s="622">
        <f t="shared" si="15"/>
        <v>0</v>
      </c>
      <c r="W257" s="622">
        <f t="shared" si="16"/>
        <v>0</v>
      </c>
      <c r="X257" s="635">
        <f t="shared" si="17"/>
        <v>1.830000000000012E-4</v>
      </c>
      <c r="Y257" s="622">
        <f t="shared" si="18"/>
        <v>1.2600000000000081E-4</v>
      </c>
      <c r="AA257" s="622" t="str">
        <f>IF(U257&gt;'JSM Eingabe+TW'!$CU$92,'JSM Eingabe+TW'!$CU$92," ")</f>
        <v xml:space="preserve"> </v>
      </c>
      <c r="AB257" s="622">
        <f t="shared" si="19"/>
        <v>126</v>
      </c>
    </row>
    <row r="258" spans="19:28" x14ac:dyDescent="0.2">
      <c r="S258" s="692">
        <v>125</v>
      </c>
      <c r="T258" s="703">
        <v>241</v>
      </c>
      <c r="U258" s="692">
        <f>LARGE('JSM Eingabe+TW'!$DJ$32:$DU$62,S258)</f>
        <v>9.9999999999999995E-7</v>
      </c>
      <c r="V258" s="622">
        <f t="shared" si="15"/>
        <v>0</v>
      </c>
      <c r="W258" s="622">
        <f t="shared" si="16"/>
        <v>0</v>
      </c>
      <c r="X258" s="635">
        <f t="shared" si="17"/>
        <v>1.830000000000012E-4</v>
      </c>
      <c r="Y258" s="622">
        <f t="shared" si="18"/>
        <v>1.2500000000000082E-4</v>
      </c>
      <c r="AA258" s="622" t="str">
        <f>IF(U258&gt;'JSM Eingabe+TW'!$CU$92,'JSM Eingabe+TW'!$CU$92," ")</f>
        <v xml:space="preserve"> </v>
      </c>
      <c r="AB258" s="622">
        <f t="shared" si="19"/>
        <v>125</v>
      </c>
    </row>
    <row r="259" spans="19:28" x14ac:dyDescent="0.2">
      <c r="S259" s="692">
        <v>124</v>
      </c>
      <c r="T259" s="703">
        <v>242</v>
      </c>
      <c r="U259" s="692">
        <f>LARGE('JSM Eingabe+TW'!$DJ$32:$DU$62,S259)</f>
        <v>9.9999999999999995E-7</v>
      </c>
      <c r="V259" s="622">
        <f t="shared" si="15"/>
        <v>0</v>
      </c>
      <c r="W259" s="622">
        <f t="shared" si="16"/>
        <v>0</v>
      </c>
      <c r="X259" s="635">
        <f t="shared" si="17"/>
        <v>1.830000000000012E-4</v>
      </c>
      <c r="Y259" s="622">
        <f t="shared" si="18"/>
        <v>1.2400000000000082E-4</v>
      </c>
      <c r="AA259" s="622" t="str">
        <f>IF(U259&gt;'JSM Eingabe+TW'!$CU$92,'JSM Eingabe+TW'!$CU$92," ")</f>
        <v xml:space="preserve"> </v>
      </c>
      <c r="AB259" s="622">
        <f t="shared" si="19"/>
        <v>124</v>
      </c>
    </row>
    <row r="260" spans="19:28" x14ac:dyDescent="0.2">
      <c r="S260" s="692">
        <v>123</v>
      </c>
      <c r="T260" s="703">
        <v>243</v>
      </c>
      <c r="U260" s="692">
        <f>LARGE('JSM Eingabe+TW'!$DJ$32:$DU$62,S260)</f>
        <v>9.9999999999999995E-7</v>
      </c>
      <c r="V260" s="622">
        <f t="shared" si="15"/>
        <v>0</v>
      </c>
      <c r="W260" s="622">
        <f t="shared" si="16"/>
        <v>0</v>
      </c>
      <c r="X260" s="635">
        <f t="shared" si="17"/>
        <v>1.830000000000012E-4</v>
      </c>
      <c r="Y260" s="622">
        <f t="shared" si="18"/>
        <v>1.2300000000000079E-4</v>
      </c>
      <c r="Z260" s="622">
        <f>P$34</f>
        <v>0</v>
      </c>
      <c r="AA260" s="622" t="str">
        <f>IF(U260&gt;'JSM Eingabe+TW'!$CU$92,'JSM Eingabe+TW'!$CU$92," ")</f>
        <v xml:space="preserve"> </v>
      </c>
      <c r="AB260" s="622">
        <f t="shared" si="19"/>
        <v>123</v>
      </c>
    </row>
    <row r="261" spans="19:28" x14ac:dyDescent="0.2">
      <c r="S261" s="692">
        <v>122</v>
      </c>
      <c r="T261" s="703">
        <v>244</v>
      </c>
      <c r="U261" s="692">
        <f>LARGE('JSM Eingabe+TW'!$DJ$32:$DU$62,S261)</f>
        <v>9.9999999999999995E-7</v>
      </c>
      <c r="V261" s="622">
        <f t="shared" si="15"/>
        <v>0</v>
      </c>
      <c r="W261" s="622">
        <f t="shared" si="16"/>
        <v>0</v>
      </c>
      <c r="X261" s="635">
        <f t="shared" si="17"/>
        <v>1.830000000000012E-4</v>
      </c>
      <c r="Y261" s="622">
        <f t="shared" si="18"/>
        <v>1.220000000000008E-4</v>
      </c>
      <c r="AA261" s="622" t="str">
        <f>IF(U261&gt;'JSM Eingabe+TW'!$CU$92,'JSM Eingabe+TW'!$CU$92," ")</f>
        <v xml:space="preserve"> </v>
      </c>
      <c r="AB261" s="622">
        <f t="shared" si="19"/>
        <v>122</v>
      </c>
    </row>
    <row r="262" spans="19:28" x14ac:dyDescent="0.2">
      <c r="S262" s="692">
        <v>121</v>
      </c>
      <c r="T262" s="703">
        <v>245</v>
      </c>
      <c r="U262" s="692">
        <f>LARGE('JSM Eingabe+TW'!$DJ$32:$DU$62,S262)</f>
        <v>9.9999999999999995E-7</v>
      </c>
      <c r="V262" s="622">
        <f t="shared" si="15"/>
        <v>0</v>
      </c>
      <c r="W262" s="622">
        <f t="shared" si="16"/>
        <v>0</v>
      </c>
      <c r="X262" s="635">
        <f t="shared" si="17"/>
        <v>1.830000000000012E-4</v>
      </c>
      <c r="Y262" s="622">
        <f t="shared" si="18"/>
        <v>1.2100000000000079E-4</v>
      </c>
      <c r="AA262" s="622" t="str">
        <f>IF(U262&gt;'JSM Eingabe+TW'!$CU$92,'JSM Eingabe+TW'!$CU$92," ")</f>
        <v xml:space="preserve"> </v>
      </c>
      <c r="AB262" s="622">
        <f t="shared" si="19"/>
        <v>121</v>
      </c>
    </row>
    <row r="263" spans="19:28" x14ac:dyDescent="0.2">
      <c r="S263" s="692">
        <v>120</v>
      </c>
      <c r="T263" s="703">
        <v>246</v>
      </c>
      <c r="U263" s="692">
        <f>LARGE('JSM Eingabe+TW'!$DJ$32:$DU$62,S263)</f>
        <v>9.9999999999999995E-7</v>
      </c>
      <c r="V263" s="622">
        <f t="shared" si="15"/>
        <v>0</v>
      </c>
      <c r="W263" s="622">
        <f t="shared" si="16"/>
        <v>0</v>
      </c>
      <c r="X263" s="635">
        <f t="shared" si="17"/>
        <v>1.830000000000012E-4</v>
      </c>
      <c r="Y263" s="622">
        <f t="shared" si="18"/>
        <v>1.2000000000000078E-4</v>
      </c>
      <c r="AA263" s="622" t="str">
        <f>IF(U263&gt;'JSM Eingabe+TW'!$CU$92,'JSM Eingabe+TW'!$CU$92," ")</f>
        <v xml:space="preserve"> </v>
      </c>
      <c r="AB263" s="622">
        <f t="shared" si="19"/>
        <v>120</v>
      </c>
    </row>
    <row r="264" spans="19:28" x14ac:dyDescent="0.2">
      <c r="S264" s="692">
        <v>119</v>
      </c>
      <c r="T264" s="703">
        <v>247</v>
      </c>
      <c r="U264" s="692">
        <f>LARGE('JSM Eingabe+TW'!$DJ$32:$DU$62,S264)</f>
        <v>9.9999999999999995E-7</v>
      </c>
      <c r="V264" s="622">
        <f t="shared" si="15"/>
        <v>0</v>
      </c>
      <c r="W264" s="622">
        <f t="shared" si="16"/>
        <v>0</v>
      </c>
      <c r="X264" s="635">
        <f t="shared" si="17"/>
        <v>1.830000000000012E-4</v>
      </c>
      <c r="Y264" s="622">
        <f t="shared" si="18"/>
        <v>1.1900000000000078E-4</v>
      </c>
      <c r="AA264" s="622" t="str">
        <f>IF(U264&gt;'JSM Eingabe+TW'!$CU$92,'JSM Eingabe+TW'!$CU$92," ")</f>
        <v xml:space="preserve"> </v>
      </c>
      <c r="AB264" s="622">
        <f t="shared" si="19"/>
        <v>119</v>
      </c>
    </row>
    <row r="265" spans="19:28" x14ac:dyDescent="0.2">
      <c r="S265" s="692">
        <v>118</v>
      </c>
      <c r="T265" s="703">
        <v>248</v>
      </c>
      <c r="U265" s="692">
        <f>LARGE('JSM Eingabe+TW'!$DJ$32:$DU$62,S265)</f>
        <v>9.9999999999999995E-7</v>
      </c>
      <c r="V265" s="622">
        <f t="shared" si="15"/>
        <v>0</v>
      </c>
      <c r="W265" s="622">
        <f t="shared" si="16"/>
        <v>0</v>
      </c>
      <c r="X265" s="635">
        <f t="shared" si="17"/>
        <v>1.830000000000012E-4</v>
      </c>
      <c r="Y265" s="622">
        <f t="shared" si="18"/>
        <v>1.1800000000000077E-4</v>
      </c>
      <c r="Z265" s="622">
        <f>P$34</f>
        <v>0</v>
      </c>
      <c r="AA265" s="622" t="str">
        <f>IF(U265&gt;'JSM Eingabe+TW'!$CU$92,'JSM Eingabe+TW'!$CU$92," ")</f>
        <v xml:space="preserve"> </v>
      </c>
      <c r="AB265" s="622">
        <f t="shared" si="19"/>
        <v>118</v>
      </c>
    </row>
    <row r="266" spans="19:28" x14ac:dyDescent="0.2">
      <c r="S266" s="692">
        <v>117</v>
      </c>
      <c r="T266" s="703">
        <v>249</v>
      </c>
      <c r="U266" s="692">
        <f>LARGE('JSM Eingabe+TW'!$DJ$32:$DU$62,S266)</f>
        <v>9.9999999999999995E-7</v>
      </c>
      <c r="V266" s="622">
        <f t="shared" si="15"/>
        <v>0</v>
      </c>
      <c r="W266" s="622">
        <f t="shared" si="16"/>
        <v>0</v>
      </c>
      <c r="X266" s="635">
        <f t="shared" si="17"/>
        <v>1.830000000000012E-4</v>
      </c>
      <c r="Y266" s="622">
        <f t="shared" si="18"/>
        <v>1.1700000000000076E-4</v>
      </c>
      <c r="AA266" s="622" t="str">
        <f>IF(U266&gt;'JSM Eingabe+TW'!$CU$92,'JSM Eingabe+TW'!$CU$92," ")</f>
        <v xml:space="preserve"> </v>
      </c>
      <c r="AB266" s="622">
        <f t="shared" si="19"/>
        <v>117</v>
      </c>
    </row>
    <row r="267" spans="19:28" x14ac:dyDescent="0.2">
      <c r="S267" s="692">
        <v>116</v>
      </c>
      <c r="T267" s="703">
        <v>250</v>
      </c>
      <c r="U267" s="692">
        <f>LARGE('JSM Eingabe+TW'!$DJ$32:$DU$62,S267)</f>
        <v>9.9999999999999995E-7</v>
      </c>
      <c r="V267" s="622">
        <f t="shared" si="15"/>
        <v>0</v>
      </c>
      <c r="W267" s="622">
        <f t="shared" si="16"/>
        <v>0</v>
      </c>
      <c r="X267" s="635">
        <f t="shared" si="17"/>
        <v>1.830000000000012E-4</v>
      </c>
      <c r="Y267" s="622">
        <f t="shared" si="18"/>
        <v>1.1600000000000076E-4</v>
      </c>
      <c r="AA267" s="622" t="str">
        <f>IF(U267&gt;'JSM Eingabe+TW'!$CU$92,'JSM Eingabe+TW'!$CU$92," ")</f>
        <v xml:space="preserve"> </v>
      </c>
      <c r="AB267" s="622">
        <f t="shared" si="19"/>
        <v>116</v>
      </c>
    </row>
    <row r="268" spans="19:28" x14ac:dyDescent="0.2">
      <c r="S268" s="692">
        <v>115</v>
      </c>
      <c r="T268" s="703">
        <v>251</v>
      </c>
      <c r="U268" s="692">
        <f>LARGE('JSM Eingabe+TW'!$DJ$32:$DU$62,S268)</f>
        <v>9.9999999999999995E-7</v>
      </c>
      <c r="V268" s="622">
        <f t="shared" si="15"/>
        <v>0</v>
      </c>
      <c r="W268" s="622">
        <f t="shared" si="16"/>
        <v>0</v>
      </c>
      <c r="X268" s="635">
        <f t="shared" si="17"/>
        <v>1.830000000000012E-4</v>
      </c>
      <c r="Y268" s="622">
        <f t="shared" si="18"/>
        <v>1.1500000000000075E-4</v>
      </c>
      <c r="AA268" s="622" t="str">
        <f>IF(U268&gt;'JSM Eingabe+TW'!$CU$92,'JSM Eingabe+TW'!$CU$92," ")</f>
        <v xml:space="preserve"> </v>
      </c>
      <c r="AB268" s="622">
        <f t="shared" si="19"/>
        <v>115</v>
      </c>
    </row>
    <row r="269" spans="19:28" x14ac:dyDescent="0.2">
      <c r="S269" s="692">
        <v>114</v>
      </c>
      <c r="T269" s="703">
        <v>252</v>
      </c>
      <c r="U269" s="692">
        <f>LARGE('JSM Eingabe+TW'!$DJ$32:$DU$62,S269)</f>
        <v>9.9999999999999995E-7</v>
      </c>
      <c r="V269" s="622">
        <f t="shared" si="15"/>
        <v>0</v>
      </c>
      <c r="W269" s="622">
        <f t="shared" si="16"/>
        <v>0</v>
      </c>
      <c r="X269" s="635">
        <f t="shared" si="17"/>
        <v>1.830000000000012E-4</v>
      </c>
      <c r="Y269" s="622">
        <f t="shared" si="18"/>
        <v>1.1400000000000074E-4</v>
      </c>
      <c r="AA269" s="622" t="str">
        <f>IF(U269&gt;'JSM Eingabe+TW'!$CU$92,'JSM Eingabe+TW'!$CU$92," ")</f>
        <v xml:space="preserve"> </v>
      </c>
      <c r="AB269" s="622">
        <f t="shared" si="19"/>
        <v>114</v>
      </c>
    </row>
    <row r="270" spans="19:28" x14ac:dyDescent="0.2">
      <c r="S270" s="692">
        <v>113</v>
      </c>
      <c r="T270" s="703">
        <v>253</v>
      </c>
      <c r="U270" s="692">
        <f>LARGE('JSM Eingabe+TW'!$DJ$32:$DU$62,S270)</f>
        <v>9.9999999999999995E-7</v>
      </c>
      <c r="V270" s="622">
        <f t="shared" si="15"/>
        <v>0</v>
      </c>
      <c r="W270" s="622">
        <f t="shared" si="16"/>
        <v>0</v>
      </c>
      <c r="X270" s="635">
        <f t="shared" si="17"/>
        <v>1.830000000000012E-4</v>
      </c>
      <c r="Y270" s="622">
        <f t="shared" si="18"/>
        <v>1.1300000000000074E-4</v>
      </c>
      <c r="Z270" s="622">
        <f>P$34</f>
        <v>0</v>
      </c>
      <c r="AA270" s="622" t="str">
        <f>IF(U270&gt;'JSM Eingabe+TW'!$CU$92,'JSM Eingabe+TW'!$CU$92," ")</f>
        <v xml:space="preserve"> </v>
      </c>
      <c r="AB270" s="622">
        <f t="shared" si="19"/>
        <v>113</v>
      </c>
    </row>
    <row r="271" spans="19:28" x14ac:dyDescent="0.2">
      <c r="S271" s="692">
        <v>112</v>
      </c>
      <c r="T271" s="703">
        <v>254</v>
      </c>
      <c r="U271" s="692">
        <f>LARGE('JSM Eingabe+TW'!$DJ$32:$DU$62,S271)</f>
        <v>9.9999999999999995E-7</v>
      </c>
      <c r="V271" s="622">
        <f t="shared" si="15"/>
        <v>0</v>
      </c>
      <c r="W271" s="622">
        <f t="shared" si="16"/>
        <v>0</v>
      </c>
      <c r="X271" s="635">
        <f t="shared" si="17"/>
        <v>1.830000000000012E-4</v>
      </c>
      <c r="Y271" s="622">
        <f t="shared" si="18"/>
        <v>1.1200000000000073E-4</v>
      </c>
      <c r="AA271" s="622" t="str">
        <f>IF(U271&gt;'JSM Eingabe+TW'!$CU$92,'JSM Eingabe+TW'!$CU$92," ")</f>
        <v xml:space="preserve"> </v>
      </c>
      <c r="AB271" s="622">
        <f t="shared" si="19"/>
        <v>112</v>
      </c>
    </row>
    <row r="272" spans="19:28" x14ac:dyDescent="0.2">
      <c r="S272" s="692">
        <v>111</v>
      </c>
      <c r="T272" s="703">
        <v>255</v>
      </c>
      <c r="U272" s="692">
        <f>LARGE('JSM Eingabe+TW'!$DJ$32:$DU$62,S272)</f>
        <v>9.9999999999999995E-7</v>
      </c>
      <c r="V272" s="622">
        <f t="shared" si="15"/>
        <v>0</v>
      </c>
      <c r="W272" s="622">
        <f t="shared" si="16"/>
        <v>0</v>
      </c>
      <c r="X272" s="635">
        <f t="shared" si="17"/>
        <v>1.830000000000012E-4</v>
      </c>
      <c r="Y272" s="622">
        <f t="shared" si="18"/>
        <v>1.1100000000000072E-4</v>
      </c>
      <c r="AA272" s="622" t="str">
        <f>IF(U272&gt;'JSM Eingabe+TW'!$CU$92,'JSM Eingabe+TW'!$CU$92," ")</f>
        <v xml:space="preserve"> </v>
      </c>
      <c r="AB272" s="622">
        <f t="shared" si="19"/>
        <v>111</v>
      </c>
    </row>
    <row r="273" spans="19:28" x14ac:dyDescent="0.2">
      <c r="S273" s="692">
        <v>110</v>
      </c>
      <c r="T273" s="703">
        <v>256</v>
      </c>
      <c r="U273" s="692">
        <f>LARGE('JSM Eingabe+TW'!$DJ$32:$DU$62,S273)</f>
        <v>9.9999999999999995E-7</v>
      </c>
      <c r="V273" s="622">
        <f t="shared" si="15"/>
        <v>0</v>
      </c>
      <c r="W273" s="622">
        <f t="shared" si="16"/>
        <v>0</v>
      </c>
      <c r="X273" s="635">
        <f t="shared" si="17"/>
        <v>1.830000000000012E-4</v>
      </c>
      <c r="Y273" s="622">
        <f t="shared" si="18"/>
        <v>1.1000000000000072E-4</v>
      </c>
      <c r="AA273" s="622" t="str">
        <f>IF(U273&gt;'JSM Eingabe+TW'!$CU$92,'JSM Eingabe+TW'!$CU$92," ")</f>
        <v xml:space="preserve"> </v>
      </c>
      <c r="AB273" s="622">
        <f t="shared" si="19"/>
        <v>110</v>
      </c>
    </row>
    <row r="274" spans="19:28" x14ac:dyDescent="0.2">
      <c r="S274" s="692">
        <v>109</v>
      </c>
      <c r="T274" s="703">
        <v>257</v>
      </c>
      <c r="U274" s="692">
        <f>LARGE('JSM Eingabe+TW'!$DJ$32:$DU$62,S274)</f>
        <v>9.9999999999999995E-7</v>
      </c>
      <c r="V274" s="622">
        <f t="shared" ref="V274:V337" si="20">IF(T274=V$13,LARGE(U$18:U$382,1),0)</f>
        <v>0</v>
      </c>
      <c r="W274" s="622">
        <f t="shared" ref="W274:W337" si="21">IF(T274=W$13,LARGE(U$18:U$382,1),0)</f>
        <v>0</v>
      </c>
      <c r="X274" s="635">
        <f t="shared" ref="X274:X337" si="22">P$35</f>
        <v>1.830000000000012E-4</v>
      </c>
      <c r="Y274" s="622">
        <f t="shared" ref="Y274:Y337" si="23">IF(T274&lt;=$W$13,U274,((U$15-P$34)/(365-W$13)*AB274)+P$34)</f>
        <v>1.0900000000000071E-4</v>
      </c>
      <c r="AA274" s="622" t="str">
        <f>IF(U274&gt;'JSM Eingabe+TW'!$CU$92,'JSM Eingabe+TW'!$CU$92," ")</f>
        <v xml:space="preserve"> </v>
      </c>
      <c r="AB274" s="622">
        <f t="shared" si="19"/>
        <v>109</v>
      </c>
    </row>
    <row r="275" spans="19:28" x14ac:dyDescent="0.2">
      <c r="S275" s="692">
        <v>108</v>
      </c>
      <c r="T275" s="703">
        <v>258</v>
      </c>
      <c r="U275" s="692">
        <f>LARGE('JSM Eingabe+TW'!$DJ$32:$DU$62,S275)</f>
        <v>9.9999999999999995E-7</v>
      </c>
      <c r="V275" s="622">
        <f t="shared" si="20"/>
        <v>0</v>
      </c>
      <c r="W275" s="622">
        <f t="shared" si="21"/>
        <v>0</v>
      </c>
      <c r="X275" s="635">
        <f t="shared" si="22"/>
        <v>1.830000000000012E-4</v>
      </c>
      <c r="Y275" s="622">
        <f t="shared" si="23"/>
        <v>1.080000000000007E-4</v>
      </c>
      <c r="Z275" s="622">
        <f>P$34</f>
        <v>0</v>
      </c>
      <c r="AA275" s="622" t="str">
        <f>IF(U275&gt;'JSM Eingabe+TW'!$CU$92,'JSM Eingabe+TW'!$CU$92," ")</f>
        <v xml:space="preserve"> </v>
      </c>
      <c r="AB275" s="622">
        <f t="shared" ref="AB275:AB338" si="24">IF(T275&lt;=W$13,0,S275)</f>
        <v>108</v>
      </c>
    </row>
    <row r="276" spans="19:28" x14ac:dyDescent="0.2">
      <c r="S276" s="692">
        <v>107</v>
      </c>
      <c r="T276" s="703">
        <v>259</v>
      </c>
      <c r="U276" s="692">
        <f>LARGE('JSM Eingabe+TW'!$DJ$32:$DU$62,S276)</f>
        <v>9.9999999999999995E-7</v>
      </c>
      <c r="V276" s="622">
        <f t="shared" si="20"/>
        <v>0</v>
      </c>
      <c r="W276" s="622">
        <f t="shared" si="21"/>
        <v>0</v>
      </c>
      <c r="X276" s="635">
        <f t="shared" si="22"/>
        <v>1.830000000000012E-4</v>
      </c>
      <c r="Y276" s="622">
        <f t="shared" si="23"/>
        <v>1.070000000000007E-4</v>
      </c>
      <c r="AA276" s="622" t="str">
        <f>IF(U276&gt;'JSM Eingabe+TW'!$CU$92,'JSM Eingabe+TW'!$CU$92," ")</f>
        <v xml:space="preserve"> </v>
      </c>
      <c r="AB276" s="622">
        <f t="shared" si="24"/>
        <v>107</v>
      </c>
    </row>
    <row r="277" spans="19:28" x14ac:dyDescent="0.2">
      <c r="S277" s="692">
        <v>106</v>
      </c>
      <c r="T277" s="703">
        <v>260</v>
      </c>
      <c r="U277" s="692">
        <f>LARGE('JSM Eingabe+TW'!$DJ$32:$DU$62,S277)</f>
        <v>9.9999999999999995E-7</v>
      </c>
      <c r="V277" s="622">
        <f t="shared" si="20"/>
        <v>0</v>
      </c>
      <c r="W277" s="622">
        <f t="shared" si="21"/>
        <v>0</v>
      </c>
      <c r="X277" s="635">
        <f t="shared" si="22"/>
        <v>1.830000000000012E-4</v>
      </c>
      <c r="Y277" s="622">
        <f t="shared" si="23"/>
        <v>1.0600000000000069E-4</v>
      </c>
      <c r="AA277" s="622" t="str">
        <f>IF(U277&gt;'JSM Eingabe+TW'!$CU$92,'JSM Eingabe+TW'!$CU$92," ")</f>
        <v xml:space="preserve"> </v>
      </c>
      <c r="AB277" s="622">
        <f t="shared" si="24"/>
        <v>106</v>
      </c>
    </row>
    <row r="278" spans="19:28" x14ac:dyDescent="0.2">
      <c r="S278" s="692">
        <v>105</v>
      </c>
      <c r="T278" s="703">
        <v>261</v>
      </c>
      <c r="U278" s="692">
        <f>LARGE('JSM Eingabe+TW'!$DJ$32:$DU$62,S278)</f>
        <v>9.9999999999999995E-7</v>
      </c>
      <c r="V278" s="622">
        <f t="shared" si="20"/>
        <v>0</v>
      </c>
      <c r="W278" s="622">
        <f t="shared" si="21"/>
        <v>0</v>
      </c>
      <c r="X278" s="635">
        <f t="shared" si="22"/>
        <v>1.830000000000012E-4</v>
      </c>
      <c r="Y278" s="622">
        <f t="shared" si="23"/>
        <v>1.0500000000000068E-4</v>
      </c>
      <c r="AA278" s="622" t="str">
        <f>IF(U278&gt;'JSM Eingabe+TW'!$CU$92,'JSM Eingabe+TW'!$CU$92," ")</f>
        <v xml:space="preserve"> </v>
      </c>
      <c r="AB278" s="622">
        <f t="shared" si="24"/>
        <v>105</v>
      </c>
    </row>
    <row r="279" spans="19:28" x14ac:dyDescent="0.2">
      <c r="S279" s="692">
        <v>104</v>
      </c>
      <c r="T279" s="703">
        <v>262</v>
      </c>
      <c r="U279" s="692">
        <f>LARGE('JSM Eingabe+TW'!$DJ$32:$DU$62,S279)</f>
        <v>9.9999999999999995E-7</v>
      </c>
      <c r="V279" s="622">
        <f t="shared" si="20"/>
        <v>0</v>
      </c>
      <c r="W279" s="622">
        <f t="shared" si="21"/>
        <v>0</v>
      </c>
      <c r="X279" s="635">
        <f t="shared" si="22"/>
        <v>1.830000000000012E-4</v>
      </c>
      <c r="Y279" s="622">
        <f t="shared" si="23"/>
        <v>1.0400000000000068E-4</v>
      </c>
      <c r="AA279" s="622" t="str">
        <f>IF(U279&gt;'JSM Eingabe+TW'!$CU$92,'JSM Eingabe+TW'!$CU$92," ")</f>
        <v xml:space="preserve"> </v>
      </c>
      <c r="AB279" s="622">
        <f t="shared" si="24"/>
        <v>104</v>
      </c>
    </row>
    <row r="280" spans="19:28" x14ac:dyDescent="0.2">
      <c r="S280" s="692">
        <v>103</v>
      </c>
      <c r="T280" s="703">
        <v>263</v>
      </c>
      <c r="U280" s="692">
        <f>LARGE('JSM Eingabe+TW'!$DJ$32:$DU$62,S280)</f>
        <v>9.9999999999999995E-7</v>
      </c>
      <c r="V280" s="622">
        <f t="shared" si="20"/>
        <v>0</v>
      </c>
      <c r="W280" s="622">
        <f t="shared" si="21"/>
        <v>0</v>
      </c>
      <c r="X280" s="635">
        <f t="shared" si="22"/>
        <v>1.830000000000012E-4</v>
      </c>
      <c r="Y280" s="622">
        <f t="shared" si="23"/>
        <v>1.0300000000000067E-4</v>
      </c>
      <c r="Z280" s="622">
        <f>P$34</f>
        <v>0</v>
      </c>
      <c r="AA280" s="622" t="str">
        <f>IF(U280&gt;'JSM Eingabe+TW'!$CU$92,'JSM Eingabe+TW'!$CU$92," ")</f>
        <v xml:space="preserve"> </v>
      </c>
      <c r="AB280" s="622">
        <f t="shared" si="24"/>
        <v>103</v>
      </c>
    </row>
    <row r="281" spans="19:28" x14ac:dyDescent="0.2">
      <c r="S281" s="692">
        <v>102</v>
      </c>
      <c r="T281" s="703">
        <v>264</v>
      </c>
      <c r="U281" s="692">
        <f>LARGE('JSM Eingabe+TW'!$DJ$32:$DU$62,S281)</f>
        <v>9.9999999999999995E-7</v>
      </c>
      <c r="V281" s="622">
        <f t="shared" si="20"/>
        <v>0</v>
      </c>
      <c r="W281" s="622">
        <f t="shared" si="21"/>
        <v>0</v>
      </c>
      <c r="X281" s="635">
        <f t="shared" si="22"/>
        <v>1.830000000000012E-4</v>
      </c>
      <c r="Y281" s="622">
        <f t="shared" si="23"/>
        <v>1.0200000000000066E-4</v>
      </c>
      <c r="AA281" s="622" t="str">
        <f>IF(U281&gt;'JSM Eingabe+TW'!$CU$92,'JSM Eingabe+TW'!$CU$92," ")</f>
        <v xml:space="preserve"> </v>
      </c>
      <c r="AB281" s="622">
        <f t="shared" si="24"/>
        <v>102</v>
      </c>
    </row>
    <row r="282" spans="19:28" x14ac:dyDescent="0.2">
      <c r="S282" s="692">
        <v>101</v>
      </c>
      <c r="T282" s="703">
        <v>265</v>
      </c>
      <c r="U282" s="692">
        <f>LARGE('JSM Eingabe+TW'!$DJ$32:$DU$62,S282)</f>
        <v>9.9999999999999995E-7</v>
      </c>
      <c r="V282" s="622">
        <f t="shared" si="20"/>
        <v>0</v>
      </c>
      <c r="W282" s="622">
        <f t="shared" si="21"/>
        <v>0</v>
      </c>
      <c r="X282" s="635">
        <f t="shared" si="22"/>
        <v>1.830000000000012E-4</v>
      </c>
      <c r="Y282" s="622">
        <f t="shared" si="23"/>
        <v>1.0100000000000065E-4</v>
      </c>
      <c r="AA282" s="622" t="str">
        <f>IF(U282&gt;'JSM Eingabe+TW'!$CU$92,'JSM Eingabe+TW'!$CU$92," ")</f>
        <v xml:space="preserve"> </v>
      </c>
      <c r="AB282" s="622">
        <f t="shared" si="24"/>
        <v>101</v>
      </c>
    </row>
    <row r="283" spans="19:28" x14ac:dyDescent="0.2">
      <c r="S283" s="692">
        <v>100</v>
      </c>
      <c r="T283" s="703">
        <v>266</v>
      </c>
      <c r="U283" s="692">
        <f>LARGE('JSM Eingabe+TW'!$DJ$32:$DU$62,S283)</f>
        <v>9.9999999999999995E-7</v>
      </c>
      <c r="V283" s="622">
        <f t="shared" si="20"/>
        <v>0</v>
      </c>
      <c r="W283" s="622">
        <f t="shared" si="21"/>
        <v>0</v>
      </c>
      <c r="X283" s="635">
        <f t="shared" si="22"/>
        <v>1.830000000000012E-4</v>
      </c>
      <c r="Y283" s="622">
        <f t="shared" si="23"/>
        <v>1.0000000000000066E-4</v>
      </c>
      <c r="AA283" s="622" t="str">
        <f>IF(U283&gt;'JSM Eingabe+TW'!$CU$92,'JSM Eingabe+TW'!$CU$92," ")</f>
        <v xml:space="preserve"> </v>
      </c>
      <c r="AB283" s="622">
        <f t="shared" si="24"/>
        <v>100</v>
      </c>
    </row>
    <row r="284" spans="19:28" x14ac:dyDescent="0.2">
      <c r="S284" s="692">
        <v>99</v>
      </c>
      <c r="T284" s="703">
        <v>267</v>
      </c>
      <c r="U284" s="692">
        <f>LARGE('JSM Eingabe+TW'!$DJ$32:$DU$62,S284)</f>
        <v>9.9999999999999995E-7</v>
      </c>
      <c r="V284" s="622">
        <f t="shared" si="20"/>
        <v>0</v>
      </c>
      <c r="W284" s="622">
        <f t="shared" si="21"/>
        <v>0</v>
      </c>
      <c r="X284" s="635">
        <f t="shared" si="22"/>
        <v>1.830000000000012E-4</v>
      </c>
      <c r="Y284" s="622">
        <f t="shared" si="23"/>
        <v>9.9000000000000645E-5</v>
      </c>
      <c r="AA284" s="622" t="str">
        <f>IF(U284&gt;'JSM Eingabe+TW'!$CU$92,'JSM Eingabe+TW'!$CU$92," ")</f>
        <v xml:space="preserve"> </v>
      </c>
      <c r="AB284" s="622">
        <f t="shared" si="24"/>
        <v>99</v>
      </c>
    </row>
    <row r="285" spans="19:28" x14ac:dyDescent="0.2">
      <c r="S285" s="692">
        <v>98</v>
      </c>
      <c r="T285" s="703">
        <v>268</v>
      </c>
      <c r="U285" s="692">
        <f>LARGE('JSM Eingabe+TW'!$DJ$32:$DU$62,S285)</f>
        <v>9.9999999999999995E-7</v>
      </c>
      <c r="V285" s="622">
        <f t="shared" si="20"/>
        <v>0</v>
      </c>
      <c r="W285" s="622">
        <f t="shared" si="21"/>
        <v>0</v>
      </c>
      <c r="X285" s="635">
        <f t="shared" si="22"/>
        <v>1.830000000000012E-4</v>
      </c>
      <c r="Y285" s="622">
        <f t="shared" si="23"/>
        <v>9.8000000000000634E-5</v>
      </c>
      <c r="Z285" s="622">
        <f>P$34</f>
        <v>0</v>
      </c>
      <c r="AA285" s="622" t="str">
        <f>IF(U285&gt;'JSM Eingabe+TW'!$CU$92,'JSM Eingabe+TW'!$CU$92," ")</f>
        <v xml:space="preserve"> </v>
      </c>
      <c r="AB285" s="622">
        <f t="shared" si="24"/>
        <v>98</v>
      </c>
    </row>
    <row r="286" spans="19:28" x14ac:dyDescent="0.2">
      <c r="S286" s="692">
        <v>97</v>
      </c>
      <c r="T286" s="703">
        <v>269</v>
      </c>
      <c r="U286" s="692">
        <f>LARGE('JSM Eingabe+TW'!$DJ$32:$DU$62,S286)</f>
        <v>9.9999999999999995E-7</v>
      </c>
      <c r="V286" s="622">
        <f t="shared" si="20"/>
        <v>0</v>
      </c>
      <c r="W286" s="622">
        <f t="shared" si="21"/>
        <v>0</v>
      </c>
      <c r="X286" s="635">
        <f t="shared" si="22"/>
        <v>1.830000000000012E-4</v>
      </c>
      <c r="Y286" s="622">
        <f t="shared" si="23"/>
        <v>9.7000000000000637E-5</v>
      </c>
      <c r="AA286" s="622" t="str">
        <f>IF(U286&gt;'JSM Eingabe+TW'!$CU$92,'JSM Eingabe+TW'!$CU$92," ")</f>
        <v xml:space="preserve"> </v>
      </c>
      <c r="AB286" s="622">
        <f t="shared" si="24"/>
        <v>97</v>
      </c>
    </row>
    <row r="287" spans="19:28" x14ac:dyDescent="0.2">
      <c r="S287" s="692">
        <v>96</v>
      </c>
      <c r="T287" s="703">
        <v>270</v>
      </c>
      <c r="U287" s="692">
        <f>LARGE('JSM Eingabe+TW'!$DJ$32:$DU$62,S287)</f>
        <v>9.9999999999999995E-7</v>
      </c>
      <c r="V287" s="622">
        <f t="shared" si="20"/>
        <v>0</v>
      </c>
      <c r="W287" s="622">
        <f t="shared" si="21"/>
        <v>0</v>
      </c>
      <c r="X287" s="635">
        <f t="shared" si="22"/>
        <v>1.830000000000012E-4</v>
      </c>
      <c r="Y287" s="622">
        <f t="shared" si="23"/>
        <v>9.6000000000000626E-5</v>
      </c>
      <c r="AA287" s="622" t="str">
        <f>IF(U287&gt;'JSM Eingabe+TW'!$CU$92,'JSM Eingabe+TW'!$CU$92," ")</f>
        <v xml:space="preserve"> </v>
      </c>
      <c r="AB287" s="622">
        <f t="shared" si="24"/>
        <v>96</v>
      </c>
    </row>
    <row r="288" spans="19:28" x14ac:dyDescent="0.2">
      <c r="S288" s="692">
        <v>95</v>
      </c>
      <c r="T288" s="703">
        <v>271</v>
      </c>
      <c r="U288" s="692">
        <f>LARGE('JSM Eingabe+TW'!$DJ$32:$DU$62,S288)</f>
        <v>9.9999999999999995E-7</v>
      </c>
      <c r="V288" s="622">
        <f t="shared" si="20"/>
        <v>0</v>
      </c>
      <c r="W288" s="622">
        <f t="shared" si="21"/>
        <v>0</v>
      </c>
      <c r="X288" s="635">
        <f t="shared" si="22"/>
        <v>1.830000000000012E-4</v>
      </c>
      <c r="Y288" s="622">
        <f t="shared" si="23"/>
        <v>9.5000000000000615E-5</v>
      </c>
      <c r="AA288" s="622" t="str">
        <f>IF(U288&gt;'JSM Eingabe+TW'!$CU$92,'JSM Eingabe+TW'!$CU$92," ")</f>
        <v xml:space="preserve"> </v>
      </c>
      <c r="AB288" s="622">
        <f t="shared" si="24"/>
        <v>95</v>
      </c>
    </row>
    <row r="289" spans="19:28" x14ac:dyDescent="0.2">
      <c r="S289" s="692">
        <v>94</v>
      </c>
      <c r="T289" s="703">
        <v>272</v>
      </c>
      <c r="U289" s="692">
        <f>LARGE('JSM Eingabe+TW'!$DJ$32:$DU$62,S289)</f>
        <v>9.9999999999999995E-7</v>
      </c>
      <c r="V289" s="622">
        <f t="shared" si="20"/>
        <v>0</v>
      </c>
      <c r="W289" s="622">
        <f t="shared" si="21"/>
        <v>0</v>
      </c>
      <c r="X289" s="635">
        <f t="shared" si="22"/>
        <v>1.830000000000012E-4</v>
      </c>
      <c r="Y289" s="622">
        <f t="shared" si="23"/>
        <v>9.4000000000000618E-5</v>
      </c>
      <c r="AA289" s="622" t="str">
        <f>IF(U289&gt;'JSM Eingabe+TW'!$CU$92,'JSM Eingabe+TW'!$CU$92," ")</f>
        <v xml:space="preserve"> </v>
      </c>
      <c r="AB289" s="622">
        <f t="shared" si="24"/>
        <v>94</v>
      </c>
    </row>
    <row r="290" spans="19:28" x14ac:dyDescent="0.2">
      <c r="S290" s="692">
        <v>93</v>
      </c>
      <c r="T290" s="703">
        <v>273</v>
      </c>
      <c r="U290" s="692">
        <f>LARGE('JSM Eingabe+TW'!$DJ$32:$DU$62,S290)</f>
        <v>9.9999999999999995E-7</v>
      </c>
      <c r="V290" s="622">
        <f t="shared" si="20"/>
        <v>0</v>
      </c>
      <c r="W290" s="622">
        <f t="shared" si="21"/>
        <v>0</v>
      </c>
      <c r="X290" s="635">
        <f t="shared" si="22"/>
        <v>1.830000000000012E-4</v>
      </c>
      <c r="Y290" s="622">
        <f t="shared" si="23"/>
        <v>9.3000000000000607E-5</v>
      </c>
      <c r="Z290" s="622">
        <f>P$34</f>
        <v>0</v>
      </c>
      <c r="AA290" s="622" t="str">
        <f>IF(U290&gt;'JSM Eingabe+TW'!$CU$92,'JSM Eingabe+TW'!$CU$92," ")</f>
        <v xml:space="preserve"> </v>
      </c>
      <c r="AB290" s="622">
        <f t="shared" si="24"/>
        <v>93</v>
      </c>
    </row>
    <row r="291" spans="19:28" x14ac:dyDescent="0.2">
      <c r="S291" s="692">
        <v>92</v>
      </c>
      <c r="T291" s="703">
        <v>274</v>
      </c>
      <c r="U291" s="692">
        <f>LARGE('JSM Eingabe+TW'!$DJ$32:$DU$62,S291)</f>
        <v>9.9999999999999995E-7</v>
      </c>
      <c r="V291" s="622">
        <f t="shared" si="20"/>
        <v>0</v>
      </c>
      <c r="W291" s="622">
        <f t="shared" si="21"/>
        <v>0</v>
      </c>
      <c r="X291" s="635">
        <f t="shared" si="22"/>
        <v>1.830000000000012E-4</v>
      </c>
      <c r="Y291" s="622">
        <f t="shared" si="23"/>
        <v>9.2000000000000596E-5</v>
      </c>
      <c r="AA291" s="622" t="str">
        <f>IF(U291&gt;'JSM Eingabe+TW'!$CU$92,'JSM Eingabe+TW'!$CU$92," ")</f>
        <v xml:space="preserve"> </v>
      </c>
      <c r="AB291" s="622">
        <f t="shared" si="24"/>
        <v>92</v>
      </c>
    </row>
    <row r="292" spans="19:28" x14ac:dyDescent="0.2">
      <c r="S292" s="692">
        <v>91</v>
      </c>
      <c r="T292" s="703">
        <v>275</v>
      </c>
      <c r="U292" s="692">
        <f>LARGE('JSM Eingabe+TW'!$DJ$32:$DU$62,S292)</f>
        <v>9.9999999999999995E-7</v>
      </c>
      <c r="V292" s="622">
        <f t="shared" si="20"/>
        <v>0</v>
      </c>
      <c r="W292" s="622">
        <f t="shared" si="21"/>
        <v>0</v>
      </c>
      <c r="X292" s="635">
        <f t="shared" si="22"/>
        <v>1.830000000000012E-4</v>
      </c>
      <c r="Y292" s="622">
        <f t="shared" si="23"/>
        <v>9.1000000000000599E-5</v>
      </c>
      <c r="AA292" s="622" t="str">
        <f>IF(U292&gt;'JSM Eingabe+TW'!$CU$92,'JSM Eingabe+TW'!$CU$92," ")</f>
        <v xml:space="preserve"> </v>
      </c>
      <c r="AB292" s="622">
        <f t="shared" si="24"/>
        <v>91</v>
      </c>
    </row>
    <row r="293" spans="19:28" x14ac:dyDescent="0.2">
      <c r="S293" s="692">
        <v>90</v>
      </c>
      <c r="T293" s="703">
        <v>276</v>
      </c>
      <c r="U293" s="692">
        <f>LARGE('JSM Eingabe+TW'!$DJ$32:$DU$62,S293)</f>
        <v>9.9999999999999995E-7</v>
      </c>
      <c r="V293" s="622">
        <f t="shared" si="20"/>
        <v>0</v>
      </c>
      <c r="W293" s="622">
        <f t="shared" si="21"/>
        <v>0</v>
      </c>
      <c r="X293" s="635">
        <f t="shared" si="22"/>
        <v>1.830000000000012E-4</v>
      </c>
      <c r="Y293" s="622">
        <f t="shared" si="23"/>
        <v>9.0000000000000588E-5</v>
      </c>
      <c r="AA293" s="622" t="str">
        <f>IF(U293&gt;'JSM Eingabe+TW'!$CU$92,'JSM Eingabe+TW'!$CU$92," ")</f>
        <v xml:space="preserve"> </v>
      </c>
      <c r="AB293" s="622">
        <f t="shared" si="24"/>
        <v>90</v>
      </c>
    </row>
    <row r="294" spans="19:28" x14ac:dyDescent="0.2">
      <c r="S294" s="692">
        <v>89</v>
      </c>
      <c r="T294" s="703">
        <v>277</v>
      </c>
      <c r="U294" s="692">
        <f>LARGE('JSM Eingabe+TW'!$DJ$32:$DU$62,S294)</f>
        <v>9.9999999999999995E-7</v>
      </c>
      <c r="V294" s="622">
        <f t="shared" si="20"/>
        <v>0</v>
      </c>
      <c r="W294" s="622">
        <f t="shared" si="21"/>
        <v>0</v>
      </c>
      <c r="X294" s="635">
        <f t="shared" si="22"/>
        <v>1.830000000000012E-4</v>
      </c>
      <c r="Y294" s="622">
        <f t="shared" si="23"/>
        <v>8.9000000000000578E-5</v>
      </c>
      <c r="AA294" s="622" t="str">
        <f>IF(U294&gt;'JSM Eingabe+TW'!$CU$92,'JSM Eingabe+TW'!$CU$92," ")</f>
        <v xml:space="preserve"> </v>
      </c>
      <c r="AB294" s="622">
        <f t="shared" si="24"/>
        <v>89</v>
      </c>
    </row>
    <row r="295" spans="19:28" x14ac:dyDescent="0.2">
      <c r="S295" s="692">
        <v>88</v>
      </c>
      <c r="T295" s="703">
        <v>278</v>
      </c>
      <c r="U295" s="692">
        <f>LARGE('JSM Eingabe+TW'!$DJ$32:$DU$62,S295)</f>
        <v>9.9999999999999995E-7</v>
      </c>
      <c r="V295" s="622">
        <f t="shared" si="20"/>
        <v>0</v>
      </c>
      <c r="W295" s="622">
        <f t="shared" si="21"/>
        <v>0</v>
      </c>
      <c r="X295" s="635">
        <f t="shared" si="22"/>
        <v>1.830000000000012E-4</v>
      </c>
      <c r="Y295" s="622">
        <f t="shared" si="23"/>
        <v>8.8000000000000567E-5</v>
      </c>
      <c r="Z295" s="622">
        <f>P$34</f>
        <v>0</v>
      </c>
      <c r="AA295" s="622" t="str">
        <f>IF(U295&gt;'JSM Eingabe+TW'!$CU$92,'JSM Eingabe+TW'!$CU$92," ")</f>
        <v xml:space="preserve"> </v>
      </c>
      <c r="AB295" s="622">
        <f t="shared" si="24"/>
        <v>88</v>
      </c>
    </row>
    <row r="296" spans="19:28" x14ac:dyDescent="0.2">
      <c r="S296" s="692">
        <v>87</v>
      </c>
      <c r="T296" s="703">
        <v>279</v>
      </c>
      <c r="U296" s="692">
        <f>LARGE('JSM Eingabe+TW'!$DJ$32:$DU$62,S296)</f>
        <v>9.9999999999999995E-7</v>
      </c>
      <c r="V296" s="622">
        <f t="shared" si="20"/>
        <v>0</v>
      </c>
      <c r="W296" s="622">
        <f t="shared" si="21"/>
        <v>0</v>
      </c>
      <c r="X296" s="635">
        <f t="shared" si="22"/>
        <v>1.830000000000012E-4</v>
      </c>
      <c r="Y296" s="622">
        <f t="shared" si="23"/>
        <v>8.700000000000057E-5</v>
      </c>
      <c r="AA296" s="622" t="str">
        <f>IF(U296&gt;'JSM Eingabe+TW'!$CU$92,'JSM Eingabe+TW'!$CU$92," ")</f>
        <v xml:space="preserve"> </v>
      </c>
      <c r="AB296" s="622">
        <f t="shared" si="24"/>
        <v>87</v>
      </c>
    </row>
    <row r="297" spans="19:28" x14ac:dyDescent="0.2">
      <c r="S297" s="692">
        <v>86</v>
      </c>
      <c r="T297" s="703">
        <v>280</v>
      </c>
      <c r="U297" s="692">
        <f>LARGE('JSM Eingabe+TW'!$DJ$32:$DU$62,S297)</f>
        <v>9.9999999999999995E-7</v>
      </c>
      <c r="V297" s="622">
        <f t="shared" si="20"/>
        <v>0</v>
      </c>
      <c r="W297" s="622">
        <f t="shared" si="21"/>
        <v>0</v>
      </c>
      <c r="X297" s="635">
        <f t="shared" si="22"/>
        <v>1.830000000000012E-4</v>
      </c>
      <c r="Y297" s="622">
        <f t="shared" si="23"/>
        <v>8.6000000000000559E-5</v>
      </c>
      <c r="AA297" s="622" t="str">
        <f>IF(U297&gt;'JSM Eingabe+TW'!$CU$92,'JSM Eingabe+TW'!$CU$92," ")</f>
        <v xml:space="preserve"> </v>
      </c>
      <c r="AB297" s="622">
        <f t="shared" si="24"/>
        <v>86</v>
      </c>
    </row>
    <row r="298" spans="19:28" x14ac:dyDescent="0.2">
      <c r="S298" s="692">
        <v>85</v>
      </c>
      <c r="T298" s="703">
        <v>281</v>
      </c>
      <c r="U298" s="692">
        <f>LARGE('JSM Eingabe+TW'!$DJ$32:$DU$62,S298)</f>
        <v>9.9999999999999995E-7</v>
      </c>
      <c r="V298" s="622">
        <f t="shared" si="20"/>
        <v>0</v>
      </c>
      <c r="W298" s="622">
        <f t="shared" si="21"/>
        <v>0</v>
      </c>
      <c r="X298" s="635">
        <f t="shared" si="22"/>
        <v>1.830000000000012E-4</v>
      </c>
      <c r="Y298" s="622">
        <f t="shared" si="23"/>
        <v>8.5000000000000548E-5</v>
      </c>
      <c r="AA298" s="622" t="str">
        <f>IF(U298&gt;'JSM Eingabe+TW'!$CU$92,'JSM Eingabe+TW'!$CU$92," ")</f>
        <v xml:space="preserve"> </v>
      </c>
      <c r="AB298" s="622">
        <f t="shared" si="24"/>
        <v>85</v>
      </c>
    </row>
    <row r="299" spans="19:28" x14ac:dyDescent="0.2">
      <c r="S299" s="692">
        <v>84</v>
      </c>
      <c r="T299" s="703">
        <v>282</v>
      </c>
      <c r="U299" s="692">
        <f>LARGE('JSM Eingabe+TW'!$DJ$32:$DU$62,S299)</f>
        <v>9.9999999999999995E-7</v>
      </c>
      <c r="V299" s="622">
        <f t="shared" si="20"/>
        <v>0</v>
      </c>
      <c r="W299" s="622">
        <f t="shared" si="21"/>
        <v>0</v>
      </c>
      <c r="X299" s="635">
        <f t="shared" si="22"/>
        <v>1.830000000000012E-4</v>
      </c>
      <c r="Y299" s="622">
        <f t="shared" si="23"/>
        <v>8.4000000000000551E-5</v>
      </c>
      <c r="AA299" s="622" t="str">
        <f>IF(U299&gt;'JSM Eingabe+TW'!$CU$92,'JSM Eingabe+TW'!$CU$92," ")</f>
        <v xml:space="preserve"> </v>
      </c>
      <c r="AB299" s="622">
        <f t="shared" si="24"/>
        <v>84</v>
      </c>
    </row>
    <row r="300" spans="19:28" x14ac:dyDescent="0.2">
      <c r="S300" s="692">
        <v>83</v>
      </c>
      <c r="T300" s="703">
        <v>283</v>
      </c>
      <c r="U300" s="692">
        <f>LARGE('JSM Eingabe+TW'!$DJ$32:$DU$62,S300)</f>
        <v>9.9999999999999995E-7</v>
      </c>
      <c r="V300" s="622">
        <f t="shared" si="20"/>
        <v>0</v>
      </c>
      <c r="W300" s="622">
        <f t="shared" si="21"/>
        <v>0</v>
      </c>
      <c r="X300" s="635">
        <f t="shared" si="22"/>
        <v>1.830000000000012E-4</v>
      </c>
      <c r="Y300" s="622">
        <f t="shared" si="23"/>
        <v>8.300000000000054E-5</v>
      </c>
      <c r="Z300" s="622">
        <f>P$34</f>
        <v>0</v>
      </c>
      <c r="AA300" s="622" t="str">
        <f>IF(U300&gt;'JSM Eingabe+TW'!$CU$92,'JSM Eingabe+TW'!$CU$92," ")</f>
        <v xml:space="preserve"> </v>
      </c>
      <c r="AB300" s="622">
        <f t="shared" si="24"/>
        <v>83</v>
      </c>
    </row>
    <row r="301" spans="19:28" x14ac:dyDescent="0.2">
      <c r="S301" s="692">
        <v>82</v>
      </c>
      <c r="T301" s="703">
        <v>284</v>
      </c>
      <c r="U301" s="692">
        <f>LARGE('JSM Eingabe+TW'!$DJ$32:$DU$62,S301)</f>
        <v>9.9999999999999995E-7</v>
      </c>
      <c r="V301" s="622">
        <f t="shared" si="20"/>
        <v>0</v>
      </c>
      <c r="W301" s="622">
        <f t="shared" si="21"/>
        <v>0</v>
      </c>
      <c r="X301" s="635">
        <f t="shared" si="22"/>
        <v>1.830000000000012E-4</v>
      </c>
      <c r="Y301" s="622">
        <f t="shared" si="23"/>
        <v>8.2000000000000529E-5</v>
      </c>
      <c r="AA301" s="622" t="str">
        <f>IF(U301&gt;'JSM Eingabe+TW'!$CU$92,'JSM Eingabe+TW'!$CU$92," ")</f>
        <v xml:space="preserve"> </v>
      </c>
      <c r="AB301" s="622">
        <f t="shared" si="24"/>
        <v>82</v>
      </c>
    </row>
    <row r="302" spans="19:28" x14ac:dyDescent="0.2">
      <c r="S302" s="692">
        <v>81</v>
      </c>
      <c r="T302" s="703">
        <v>285</v>
      </c>
      <c r="U302" s="692">
        <f>LARGE('JSM Eingabe+TW'!$DJ$32:$DU$62,S302)</f>
        <v>9.9999999999999995E-7</v>
      </c>
      <c r="V302" s="622">
        <f t="shared" si="20"/>
        <v>0</v>
      </c>
      <c r="W302" s="622">
        <f t="shared" si="21"/>
        <v>0</v>
      </c>
      <c r="X302" s="635">
        <f t="shared" si="22"/>
        <v>1.830000000000012E-4</v>
      </c>
      <c r="Y302" s="622">
        <f t="shared" si="23"/>
        <v>8.1000000000000532E-5</v>
      </c>
      <c r="AA302" s="622" t="str">
        <f>IF(U302&gt;'JSM Eingabe+TW'!$CU$92,'JSM Eingabe+TW'!$CU$92," ")</f>
        <v xml:space="preserve"> </v>
      </c>
      <c r="AB302" s="622">
        <f t="shared" si="24"/>
        <v>81</v>
      </c>
    </row>
    <row r="303" spans="19:28" x14ac:dyDescent="0.2">
      <c r="S303" s="692">
        <v>80</v>
      </c>
      <c r="T303" s="703">
        <v>286</v>
      </c>
      <c r="U303" s="692">
        <f>LARGE('JSM Eingabe+TW'!$DJ$32:$DU$62,S303)</f>
        <v>9.9999999999999995E-7</v>
      </c>
      <c r="V303" s="622">
        <f t="shared" si="20"/>
        <v>0</v>
      </c>
      <c r="W303" s="622">
        <f t="shared" si="21"/>
        <v>0</v>
      </c>
      <c r="X303" s="635">
        <f t="shared" si="22"/>
        <v>1.830000000000012E-4</v>
      </c>
      <c r="Y303" s="622">
        <f t="shared" si="23"/>
        <v>8.0000000000000522E-5</v>
      </c>
      <c r="AA303" s="622" t="str">
        <f>IF(U303&gt;'JSM Eingabe+TW'!$CU$92,'JSM Eingabe+TW'!$CU$92," ")</f>
        <v xml:space="preserve"> </v>
      </c>
      <c r="AB303" s="622">
        <f t="shared" si="24"/>
        <v>80</v>
      </c>
    </row>
    <row r="304" spans="19:28" x14ac:dyDescent="0.2">
      <c r="S304" s="692">
        <v>79</v>
      </c>
      <c r="T304" s="703">
        <v>287</v>
      </c>
      <c r="U304" s="692">
        <f>LARGE('JSM Eingabe+TW'!$DJ$32:$DU$62,S304)</f>
        <v>9.9999999999999995E-7</v>
      </c>
      <c r="V304" s="622">
        <f t="shared" si="20"/>
        <v>0</v>
      </c>
      <c r="W304" s="622">
        <f t="shared" si="21"/>
        <v>0</v>
      </c>
      <c r="X304" s="635">
        <f t="shared" si="22"/>
        <v>1.830000000000012E-4</v>
      </c>
      <c r="Y304" s="622">
        <f t="shared" si="23"/>
        <v>7.9000000000000511E-5</v>
      </c>
      <c r="AA304" s="622" t="str">
        <f>IF(U304&gt;'JSM Eingabe+TW'!$CU$92,'JSM Eingabe+TW'!$CU$92," ")</f>
        <v xml:space="preserve"> </v>
      </c>
      <c r="AB304" s="622">
        <f t="shared" si="24"/>
        <v>79</v>
      </c>
    </row>
    <row r="305" spans="19:28" x14ac:dyDescent="0.2">
      <c r="S305" s="692">
        <v>78</v>
      </c>
      <c r="T305" s="703">
        <v>288</v>
      </c>
      <c r="U305" s="692">
        <f>LARGE('JSM Eingabe+TW'!$DJ$32:$DU$62,S305)</f>
        <v>9.9999999999999995E-7</v>
      </c>
      <c r="V305" s="622">
        <f t="shared" si="20"/>
        <v>0</v>
      </c>
      <c r="W305" s="622">
        <f t="shared" si="21"/>
        <v>0</v>
      </c>
      <c r="X305" s="635">
        <f t="shared" si="22"/>
        <v>1.830000000000012E-4</v>
      </c>
      <c r="Y305" s="622">
        <f t="shared" si="23"/>
        <v>7.8000000000000514E-5</v>
      </c>
      <c r="Z305" s="622">
        <f>P$34</f>
        <v>0</v>
      </c>
      <c r="AA305" s="622" t="str">
        <f>IF(U305&gt;'JSM Eingabe+TW'!$CU$92,'JSM Eingabe+TW'!$CU$92," ")</f>
        <v xml:space="preserve"> </v>
      </c>
      <c r="AB305" s="622">
        <f t="shared" si="24"/>
        <v>78</v>
      </c>
    </row>
    <row r="306" spans="19:28" x14ac:dyDescent="0.2">
      <c r="S306" s="692">
        <v>77</v>
      </c>
      <c r="T306" s="703">
        <v>289</v>
      </c>
      <c r="U306" s="692">
        <f>LARGE('JSM Eingabe+TW'!$DJ$32:$DU$62,S306)</f>
        <v>9.9999999999999995E-7</v>
      </c>
      <c r="V306" s="622">
        <f t="shared" si="20"/>
        <v>0</v>
      </c>
      <c r="W306" s="622">
        <f t="shared" si="21"/>
        <v>0</v>
      </c>
      <c r="X306" s="635">
        <f t="shared" si="22"/>
        <v>1.830000000000012E-4</v>
      </c>
      <c r="Y306" s="622">
        <f t="shared" si="23"/>
        <v>7.7000000000000503E-5</v>
      </c>
      <c r="AA306" s="622" t="str">
        <f>IF(U306&gt;'JSM Eingabe+TW'!$CU$92,'JSM Eingabe+TW'!$CU$92," ")</f>
        <v xml:space="preserve"> </v>
      </c>
      <c r="AB306" s="622">
        <f t="shared" si="24"/>
        <v>77</v>
      </c>
    </row>
    <row r="307" spans="19:28" x14ac:dyDescent="0.2">
      <c r="S307" s="692">
        <v>76</v>
      </c>
      <c r="T307" s="703">
        <v>290</v>
      </c>
      <c r="U307" s="692">
        <f>LARGE('JSM Eingabe+TW'!$DJ$32:$DU$62,S307)</f>
        <v>9.9999999999999995E-7</v>
      </c>
      <c r="V307" s="622">
        <f t="shared" si="20"/>
        <v>0</v>
      </c>
      <c r="W307" s="622">
        <f t="shared" si="21"/>
        <v>0</v>
      </c>
      <c r="X307" s="635">
        <f t="shared" si="22"/>
        <v>1.830000000000012E-4</v>
      </c>
      <c r="Y307" s="622">
        <f t="shared" si="23"/>
        <v>7.6000000000000492E-5</v>
      </c>
      <c r="AA307" s="622" t="str">
        <f>IF(U307&gt;'JSM Eingabe+TW'!$CU$92,'JSM Eingabe+TW'!$CU$92," ")</f>
        <v xml:space="preserve"> </v>
      </c>
      <c r="AB307" s="622">
        <f t="shared" si="24"/>
        <v>76</v>
      </c>
    </row>
    <row r="308" spans="19:28" x14ac:dyDescent="0.2">
      <c r="S308" s="692">
        <v>75</v>
      </c>
      <c r="T308" s="703">
        <v>291</v>
      </c>
      <c r="U308" s="692">
        <f>LARGE('JSM Eingabe+TW'!$DJ$32:$DU$62,S308)</f>
        <v>9.9999999999999995E-7</v>
      </c>
      <c r="V308" s="622">
        <f t="shared" si="20"/>
        <v>0</v>
      </c>
      <c r="W308" s="622">
        <f t="shared" si="21"/>
        <v>0</v>
      </c>
      <c r="X308" s="635">
        <f t="shared" si="22"/>
        <v>1.830000000000012E-4</v>
      </c>
      <c r="Y308" s="622">
        <f t="shared" si="23"/>
        <v>7.5000000000000495E-5</v>
      </c>
      <c r="AA308" s="622" t="str">
        <f>IF(U308&gt;'JSM Eingabe+TW'!$CU$92,'JSM Eingabe+TW'!$CU$92," ")</f>
        <v xml:space="preserve"> </v>
      </c>
      <c r="AB308" s="622">
        <f t="shared" si="24"/>
        <v>75</v>
      </c>
    </row>
    <row r="309" spans="19:28" x14ac:dyDescent="0.2">
      <c r="S309" s="692">
        <v>74</v>
      </c>
      <c r="T309" s="703">
        <v>292</v>
      </c>
      <c r="U309" s="692">
        <f>LARGE('JSM Eingabe+TW'!$DJ$32:$DU$62,S309)</f>
        <v>9.9999999999999995E-7</v>
      </c>
      <c r="V309" s="622">
        <f t="shared" si="20"/>
        <v>0</v>
      </c>
      <c r="W309" s="622">
        <f t="shared" si="21"/>
        <v>0</v>
      </c>
      <c r="X309" s="635">
        <f t="shared" si="22"/>
        <v>1.830000000000012E-4</v>
      </c>
      <c r="Y309" s="622">
        <f t="shared" si="23"/>
        <v>7.4000000000000484E-5</v>
      </c>
      <c r="AA309" s="622" t="str">
        <f>IF(U309&gt;'JSM Eingabe+TW'!$CU$92,'JSM Eingabe+TW'!$CU$92," ")</f>
        <v xml:space="preserve"> </v>
      </c>
      <c r="AB309" s="622">
        <f t="shared" si="24"/>
        <v>74</v>
      </c>
    </row>
    <row r="310" spans="19:28" x14ac:dyDescent="0.2">
      <c r="S310" s="692">
        <v>73</v>
      </c>
      <c r="T310" s="703">
        <v>293</v>
      </c>
      <c r="U310" s="692">
        <f>LARGE('JSM Eingabe+TW'!$DJ$32:$DU$62,S310)</f>
        <v>9.9999999999999995E-7</v>
      </c>
      <c r="V310" s="622">
        <f t="shared" si="20"/>
        <v>0</v>
      </c>
      <c r="W310" s="622">
        <f t="shared" si="21"/>
        <v>0</v>
      </c>
      <c r="X310" s="635">
        <f t="shared" si="22"/>
        <v>1.830000000000012E-4</v>
      </c>
      <c r="Y310" s="622">
        <f t="shared" si="23"/>
        <v>7.3000000000000473E-5</v>
      </c>
      <c r="Z310" s="622">
        <f>P$34</f>
        <v>0</v>
      </c>
      <c r="AA310" s="622" t="str">
        <f>IF(U310&gt;'JSM Eingabe+TW'!$CU$92,'JSM Eingabe+TW'!$CU$92," ")</f>
        <v xml:space="preserve"> </v>
      </c>
      <c r="AB310" s="622">
        <f t="shared" si="24"/>
        <v>73</v>
      </c>
    </row>
    <row r="311" spans="19:28" x14ac:dyDescent="0.2">
      <c r="S311" s="692">
        <v>72</v>
      </c>
      <c r="T311" s="703">
        <v>294</v>
      </c>
      <c r="U311" s="692">
        <f>LARGE('JSM Eingabe+TW'!$DJ$32:$DU$62,S311)</f>
        <v>9.9999999999999995E-7</v>
      </c>
      <c r="V311" s="622">
        <f t="shared" si="20"/>
        <v>0</v>
      </c>
      <c r="W311" s="622">
        <f t="shared" si="21"/>
        <v>0</v>
      </c>
      <c r="X311" s="635">
        <f t="shared" si="22"/>
        <v>1.830000000000012E-4</v>
      </c>
      <c r="Y311" s="622">
        <f t="shared" si="23"/>
        <v>7.2000000000000476E-5</v>
      </c>
      <c r="AA311" s="622" t="str">
        <f>IF(U311&gt;'JSM Eingabe+TW'!$CU$92,'JSM Eingabe+TW'!$CU$92," ")</f>
        <v xml:space="preserve"> </v>
      </c>
      <c r="AB311" s="622">
        <f t="shared" si="24"/>
        <v>72</v>
      </c>
    </row>
    <row r="312" spans="19:28" x14ac:dyDescent="0.2">
      <c r="S312" s="692">
        <v>71</v>
      </c>
      <c r="T312" s="703">
        <v>295</v>
      </c>
      <c r="U312" s="692">
        <f>LARGE('JSM Eingabe+TW'!$DJ$32:$DU$62,S312)</f>
        <v>9.9999999999999995E-7</v>
      </c>
      <c r="V312" s="622">
        <f t="shared" si="20"/>
        <v>0</v>
      </c>
      <c r="W312" s="622">
        <f t="shared" si="21"/>
        <v>0</v>
      </c>
      <c r="X312" s="635">
        <f t="shared" si="22"/>
        <v>1.830000000000012E-4</v>
      </c>
      <c r="Y312" s="622">
        <f t="shared" si="23"/>
        <v>7.1000000000000465E-5</v>
      </c>
      <c r="AA312" s="622" t="str">
        <f>IF(U312&gt;'JSM Eingabe+TW'!$CU$92,'JSM Eingabe+TW'!$CU$92," ")</f>
        <v xml:space="preserve"> </v>
      </c>
      <c r="AB312" s="622">
        <f t="shared" si="24"/>
        <v>71</v>
      </c>
    </row>
    <row r="313" spans="19:28" x14ac:dyDescent="0.2">
      <c r="S313" s="692">
        <v>70</v>
      </c>
      <c r="T313" s="703">
        <v>296</v>
      </c>
      <c r="U313" s="692">
        <f>LARGE('JSM Eingabe+TW'!$DJ$32:$DU$62,S313)</f>
        <v>9.9999999999999995E-7</v>
      </c>
      <c r="V313" s="622">
        <f t="shared" si="20"/>
        <v>0</v>
      </c>
      <c r="W313" s="622">
        <f t="shared" si="21"/>
        <v>0</v>
      </c>
      <c r="X313" s="635">
        <f t="shared" si="22"/>
        <v>1.830000000000012E-4</v>
      </c>
      <c r="Y313" s="622">
        <f t="shared" si="23"/>
        <v>7.0000000000000455E-5</v>
      </c>
      <c r="AA313" s="622" t="str">
        <f>IF(U313&gt;'JSM Eingabe+TW'!$CU$92,'JSM Eingabe+TW'!$CU$92," ")</f>
        <v xml:space="preserve"> </v>
      </c>
      <c r="AB313" s="622">
        <f t="shared" si="24"/>
        <v>70</v>
      </c>
    </row>
    <row r="314" spans="19:28" x14ac:dyDescent="0.2">
      <c r="S314" s="692">
        <v>69</v>
      </c>
      <c r="T314" s="703">
        <v>297</v>
      </c>
      <c r="U314" s="692">
        <f>LARGE('JSM Eingabe+TW'!$DJ$32:$DU$62,S314)</f>
        <v>9.9999999999999995E-7</v>
      </c>
      <c r="V314" s="622">
        <f t="shared" si="20"/>
        <v>0</v>
      </c>
      <c r="W314" s="622">
        <f t="shared" si="21"/>
        <v>0</v>
      </c>
      <c r="X314" s="635">
        <f t="shared" si="22"/>
        <v>1.830000000000012E-4</v>
      </c>
      <c r="Y314" s="622">
        <f t="shared" si="23"/>
        <v>6.9000000000000444E-5</v>
      </c>
      <c r="AA314" s="622" t="str">
        <f>IF(U314&gt;'JSM Eingabe+TW'!$CU$92,'JSM Eingabe+TW'!$CU$92," ")</f>
        <v xml:space="preserve"> </v>
      </c>
      <c r="AB314" s="622">
        <f t="shared" si="24"/>
        <v>69</v>
      </c>
    </row>
    <row r="315" spans="19:28" x14ac:dyDescent="0.2">
      <c r="S315" s="692">
        <v>68</v>
      </c>
      <c r="T315" s="703">
        <v>298</v>
      </c>
      <c r="U315" s="692">
        <f>LARGE('JSM Eingabe+TW'!$DJ$32:$DU$62,S315)</f>
        <v>9.9999999999999995E-7</v>
      </c>
      <c r="V315" s="622">
        <f t="shared" si="20"/>
        <v>0</v>
      </c>
      <c r="W315" s="622">
        <f t="shared" si="21"/>
        <v>0</v>
      </c>
      <c r="X315" s="635">
        <f t="shared" si="22"/>
        <v>1.830000000000012E-4</v>
      </c>
      <c r="Y315" s="622">
        <f t="shared" si="23"/>
        <v>6.8000000000000447E-5</v>
      </c>
      <c r="Z315" s="622">
        <f>P$34</f>
        <v>0</v>
      </c>
      <c r="AA315" s="622" t="str">
        <f>IF(U315&gt;'JSM Eingabe+TW'!$CU$92,'JSM Eingabe+TW'!$CU$92," ")</f>
        <v xml:space="preserve"> </v>
      </c>
      <c r="AB315" s="622">
        <f t="shared" si="24"/>
        <v>68</v>
      </c>
    </row>
    <row r="316" spans="19:28" x14ac:dyDescent="0.2">
      <c r="S316" s="692">
        <v>67</v>
      </c>
      <c r="T316" s="703">
        <v>299</v>
      </c>
      <c r="U316" s="692">
        <f>LARGE('JSM Eingabe+TW'!$DJ$32:$DU$62,S316)</f>
        <v>9.9999999999999995E-7</v>
      </c>
      <c r="V316" s="622">
        <f t="shared" si="20"/>
        <v>0</v>
      </c>
      <c r="W316" s="622">
        <f t="shared" si="21"/>
        <v>0</v>
      </c>
      <c r="X316" s="635">
        <f t="shared" si="22"/>
        <v>1.830000000000012E-4</v>
      </c>
      <c r="Y316" s="622">
        <f t="shared" si="23"/>
        <v>6.7000000000000436E-5</v>
      </c>
      <c r="AA316" s="622" t="str">
        <f>IF(U316&gt;'JSM Eingabe+TW'!$CU$92,'JSM Eingabe+TW'!$CU$92," ")</f>
        <v xml:space="preserve"> </v>
      </c>
      <c r="AB316" s="622">
        <f t="shared" si="24"/>
        <v>67</v>
      </c>
    </row>
    <row r="317" spans="19:28" x14ac:dyDescent="0.2">
      <c r="S317" s="692">
        <v>66</v>
      </c>
      <c r="T317" s="703">
        <v>300</v>
      </c>
      <c r="U317" s="692">
        <f>LARGE('JSM Eingabe+TW'!$DJ$32:$DU$62,S317)</f>
        <v>9.9999999999999995E-7</v>
      </c>
      <c r="V317" s="622">
        <f t="shared" si="20"/>
        <v>0</v>
      </c>
      <c r="W317" s="622">
        <f t="shared" si="21"/>
        <v>0</v>
      </c>
      <c r="X317" s="635">
        <f t="shared" si="22"/>
        <v>1.830000000000012E-4</v>
      </c>
      <c r="Y317" s="622">
        <f t="shared" si="23"/>
        <v>6.6000000000000425E-5</v>
      </c>
      <c r="AA317" s="622" t="str">
        <f>IF(U317&gt;'JSM Eingabe+TW'!$CU$92,'JSM Eingabe+TW'!$CU$92," ")</f>
        <v xml:space="preserve"> </v>
      </c>
      <c r="AB317" s="622">
        <f t="shared" si="24"/>
        <v>66</v>
      </c>
    </row>
    <row r="318" spans="19:28" x14ac:dyDescent="0.2">
      <c r="S318" s="692">
        <v>65</v>
      </c>
      <c r="T318" s="703">
        <v>301</v>
      </c>
      <c r="U318" s="692">
        <f>LARGE('JSM Eingabe+TW'!$DJ$32:$DU$62,S318)</f>
        <v>9.9999999999999995E-7</v>
      </c>
      <c r="V318" s="622">
        <f t="shared" si="20"/>
        <v>0</v>
      </c>
      <c r="W318" s="622">
        <f t="shared" si="21"/>
        <v>0</v>
      </c>
      <c r="X318" s="635">
        <f t="shared" si="22"/>
        <v>1.830000000000012E-4</v>
      </c>
      <c r="Y318" s="622">
        <f t="shared" si="23"/>
        <v>6.5000000000000428E-5</v>
      </c>
      <c r="AA318" s="622" t="str">
        <f>IF(U318&gt;'JSM Eingabe+TW'!$CU$92,'JSM Eingabe+TW'!$CU$92," ")</f>
        <v xml:space="preserve"> </v>
      </c>
      <c r="AB318" s="622">
        <f t="shared" si="24"/>
        <v>65</v>
      </c>
    </row>
    <row r="319" spans="19:28" x14ac:dyDescent="0.2">
      <c r="S319" s="692">
        <v>64</v>
      </c>
      <c r="T319" s="703">
        <v>302</v>
      </c>
      <c r="U319" s="692">
        <f>LARGE('JSM Eingabe+TW'!$DJ$32:$DU$62,S319)</f>
        <v>9.9999999999999995E-7</v>
      </c>
      <c r="V319" s="622">
        <f t="shared" si="20"/>
        <v>0</v>
      </c>
      <c r="W319" s="622">
        <f t="shared" si="21"/>
        <v>0</v>
      </c>
      <c r="X319" s="635">
        <f t="shared" si="22"/>
        <v>1.830000000000012E-4</v>
      </c>
      <c r="Y319" s="622">
        <f t="shared" si="23"/>
        <v>6.4000000000000417E-5</v>
      </c>
      <c r="AA319" s="622" t="str">
        <f>IF(U319&gt;'JSM Eingabe+TW'!$CU$92,'JSM Eingabe+TW'!$CU$92," ")</f>
        <v xml:space="preserve"> </v>
      </c>
      <c r="AB319" s="622">
        <f t="shared" si="24"/>
        <v>64</v>
      </c>
    </row>
    <row r="320" spans="19:28" x14ac:dyDescent="0.2">
      <c r="S320" s="692">
        <v>63</v>
      </c>
      <c r="T320" s="703">
        <v>303</v>
      </c>
      <c r="U320" s="692">
        <f>LARGE('JSM Eingabe+TW'!$DJ$32:$DU$62,S320)</f>
        <v>9.9999999999999995E-7</v>
      </c>
      <c r="V320" s="622">
        <f t="shared" si="20"/>
        <v>0</v>
      </c>
      <c r="W320" s="622">
        <f t="shared" si="21"/>
        <v>0</v>
      </c>
      <c r="X320" s="635">
        <f t="shared" si="22"/>
        <v>1.830000000000012E-4</v>
      </c>
      <c r="Y320" s="622">
        <f t="shared" si="23"/>
        <v>6.3000000000000406E-5</v>
      </c>
      <c r="Z320" s="622">
        <f>P$34</f>
        <v>0</v>
      </c>
      <c r="AA320" s="622" t="str">
        <f>IF(U320&gt;'JSM Eingabe+TW'!$CU$92,'JSM Eingabe+TW'!$CU$92," ")</f>
        <v xml:space="preserve"> </v>
      </c>
      <c r="AB320" s="622">
        <f t="shared" si="24"/>
        <v>63</v>
      </c>
    </row>
    <row r="321" spans="19:28" x14ac:dyDescent="0.2">
      <c r="S321" s="692">
        <v>62</v>
      </c>
      <c r="T321" s="703">
        <v>304</v>
      </c>
      <c r="U321" s="692">
        <f>LARGE('JSM Eingabe+TW'!$DJ$32:$DU$62,S321)</f>
        <v>9.9999999999999995E-7</v>
      </c>
      <c r="V321" s="622">
        <f t="shared" si="20"/>
        <v>0</v>
      </c>
      <c r="W321" s="622">
        <f t="shared" si="21"/>
        <v>0</v>
      </c>
      <c r="X321" s="635">
        <f t="shared" si="22"/>
        <v>1.830000000000012E-4</v>
      </c>
      <c r="Y321" s="622">
        <f t="shared" si="23"/>
        <v>6.2000000000000409E-5</v>
      </c>
      <c r="AA321" s="622" t="str">
        <f>IF(U321&gt;'JSM Eingabe+TW'!$CU$92,'JSM Eingabe+TW'!$CU$92," ")</f>
        <v xml:space="preserve"> </v>
      </c>
      <c r="AB321" s="622">
        <f t="shared" si="24"/>
        <v>62</v>
      </c>
    </row>
    <row r="322" spans="19:28" x14ac:dyDescent="0.2">
      <c r="S322" s="692">
        <v>61</v>
      </c>
      <c r="T322" s="703">
        <v>305</v>
      </c>
      <c r="U322" s="692">
        <f>LARGE('JSM Eingabe+TW'!$DJ$32:$DU$62,S322)</f>
        <v>9.9999999999999995E-7</v>
      </c>
      <c r="V322" s="622">
        <f t="shared" si="20"/>
        <v>0</v>
      </c>
      <c r="W322" s="622">
        <f t="shared" si="21"/>
        <v>0</v>
      </c>
      <c r="X322" s="635">
        <f t="shared" si="22"/>
        <v>1.830000000000012E-4</v>
      </c>
      <c r="Y322" s="622">
        <f t="shared" si="23"/>
        <v>6.1000000000000399E-5</v>
      </c>
      <c r="AA322" s="622" t="str">
        <f>IF(U322&gt;'JSM Eingabe+TW'!$CU$92,'JSM Eingabe+TW'!$CU$92," ")</f>
        <v xml:space="preserve"> </v>
      </c>
      <c r="AB322" s="622">
        <f t="shared" si="24"/>
        <v>61</v>
      </c>
    </row>
    <row r="323" spans="19:28" x14ac:dyDescent="0.2">
      <c r="S323" s="692">
        <v>60</v>
      </c>
      <c r="T323" s="703">
        <v>306</v>
      </c>
      <c r="U323" s="692">
        <f>LARGE('JSM Eingabe+TW'!$DJ$32:$DU$62,S323)</f>
        <v>9.9999999999999995E-7</v>
      </c>
      <c r="V323" s="622">
        <f t="shared" si="20"/>
        <v>0</v>
      </c>
      <c r="W323" s="622">
        <f t="shared" si="21"/>
        <v>0</v>
      </c>
      <c r="X323" s="635">
        <f t="shared" si="22"/>
        <v>1.830000000000012E-4</v>
      </c>
      <c r="Y323" s="622">
        <f t="shared" si="23"/>
        <v>6.0000000000000388E-5</v>
      </c>
      <c r="AA323" s="622" t="str">
        <f>IF(U323&gt;'JSM Eingabe+TW'!$CU$92,'JSM Eingabe+TW'!$CU$92," ")</f>
        <v xml:space="preserve"> </v>
      </c>
      <c r="AB323" s="622">
        <f t="shared" si="24"/>
        <v>60</v>
      </c>
    </row>
    <row r="324" spans="19:28" x14ac:dyDescent="0.2">
      <c r="S324" s="692">
        <v>59</v>
      </c>
      <c r="T324" s="703">
        <v>307</v>
      </c>
      <c r="U324" s="692">
        <f>LARGE('JSM Eingabe+TW'!$DJ$32:$DU$62,S324)</f>
        <v>9.9999999999999995E-7</v>
      </c>
      <c r="V324" s="622">
        <f t="shared" si="20"/>
        <v>0</v>
      </c>
      <c r="W324" s="622">
        <f t="shared" si="21"/>
        <v>0</v>
      </c>
      <c r="X324" s="635">
        <f t="shared" si="22"/>
        <v>1.830000000000012E-4</v>
      </c>
      <c r="Y324" s="622">
        <f t="shared" si="23"/>
        <v>5.9000000000000384E-5</v>
      </c>
      <c r="AA324" s="622" t="str">
        <f>IF(U324&gt;'JSM Eingabe+TW'!$CU$92,'JSM Eingabe+TW'!$CU$92," ")</f>
        <v xml:space="preserve"> </v>
      </c>
      <c r="AB324" s="622">
        <f t="shared" si="24"/>
        <v>59</v>
      </c>
    </row>
    <row r="325" spans="19:28" x14ac:dyDescent="0.2">
      <c r="S325" s="692">
        <v>58</v>
      </c>
      <c r="T325" s="703">
        <v>308</v>
      </c>
      <c r="U325" s="692">
        <f>LARGE('JSM Eingabe+TW'!$DJ$32:$DU$62,S325)</f>
        <v>9.9999999999999995E-7</v>
      </c>
      <c r="V325" s="622">
        <f t="shared" si="20"/>
        <v>0</v>
      </c>
      <c r="W325" s="622">
        <f t="shared" si="21"/>
        <v>0</v>
      </c>
      <c r="X325" s="635">
        <f t="shared" si="22"/>
        <v>1.830000000000012E-4</v>
      </c>
      <c r="Y325" s="622">
        <f t="shared" si="23"/>
        <v>5.800000000000038E-5</v>
      </c>
      <c r="Z325" s="622">
        <f>P$34</f>
        <v>0</v>
      </c>
      <c r="AA325" s="622" t="str">
        <f>IF(U325&gt;'JSM Eingabe+TW'!$CU$92,'JSM Eingabe+TW'!$CU$92," ")</f>
        <v xml:space="preserve"> </v>
      </c>
      <c r="AB325" s="622">
        <f t="shared" si="24"/>
        <v>58</v>
      </c>
    </row>
    <row r="326" spans="19:28" x14ac:dyDescent="0.2">
      <c r="S326" s="692">
        <v>57</v>
      </c>
      <c r="T326" s="703">
        <v>309</v>
      </c>
      <c r="U326" s="692">
        <f>LARGE('JSM Eingabe+TW'!$DJ$32:$DU$62,S326)</f>
        <v>9.9999999999999995E-7</v>
      </c>
      <c r="V326" s="622">
        <f t="shared" si="20"/>
        <v>0</v>
      </c>
      <c r="W326" s="622">
        <f t="shared" si="21"/>
        <v>0</v>
      </c>
      <c r="X326" s="635">
        <f t="shared" si="22"/>
        <v>1.830000000000012E-4</v>
      </c>
      <c r="Y326" s="622">
        <f t="shared" si="23"/>
        <v>5.7000000000000369E-5</v>
      </c>
      <c r="AA326" s="622" t="str">
        <f>IF(U326&gt;'JSM Eingabe+TW'!$CU$92,'JSM Eingabe+TW'!$CU$92," ")</f>
        <v xml:space="preserve"> </v>
      </c>
      <c r="AB326" s="622">
        <f t="shared" si="24"/>
        <v>57</v>
      </c>
    </row>
    <row r="327" spans="19:28" x14ac:dyDescent="0.2">
      <c r="S327" s="692">
        <v>56</v>
      </c>
      <c r="T327" s="703">
        <v>310</v>
      </c>
      <c r="U327" s="692">
        <f>LARGE('JSM Eingabe+TW'!$DJ$32:$DU$62,S327)</f>
        <v>9.9999999999999995E-7</v>
      </c>
      <c r="V327" s="622">
        <f t="shared" si="20"/>
        <v>0</v>
      </c>
      <c r="W327" s="622">
        <f t="shared" si="21"/>
        <v>0</v>
      </c>
      <c r="X327" s="635">
        <f t="shared" si="22"/>
        <v>1.830000000000012E-4</v>
      </c>
      <c r="Y327" s="622">
        <f t="shared" si="23"/>
        <v>5.6000000000000365E-5</v>
      </c>
      <c r="AA327" s="622" t="str">
        <f>IF(U327&gt;'JSM Eingabe+TW'!$CU$92,'JSM Eingabe+TW'!$CU$92," ")</f>
        <v xml:space="preserve"> </v>
      </c>
      <c r="AB327" s="622">
        <f t="shared" si="24"/>
        <v>56</v>
      </c>
    </row>
    <row r="328" spans="19:28" x14ac:dyDescent="0.2">
      <c r="S328" s="692">
        <v>55</v>
      </c>
      <c r="T328" s="703">
        <v>311</v>
      </c>
      <c r="U328" s="692">
        <f>LARGE('JSM Eingabe+TW'!$DJ$32:$DU$62,S328)</f>
        <v>9.9999999999999995E-7</v>
      </c>
      <c r="V328" s="622">
        <f t="shared" si="20"/>
        <v>0</v>
      </c>
      <c r="W328" s="622">
        <f t="shared" si="21"/>
        <v>0</v>
      </c>
      <c r="X328" s="635">
        <f t="shared" si="22"/>
        <v>1.830000000000012E-4</v>
      </c>
      <c r="Y328" s="622">
        <f t="shared" si="23"/>
        <v>5.5000000000000361E-5</v>
      </c>
      <c r="AA328" s="622" t="str">
        <f>IF(U328&gt;'JSM Eingabe+TW'!$CU$92,'JSM Eingabe+TW'!$CU$92," ")</f>
        <v xml:space="preserve"> </v>
      </c>
      <c r="AB328" s="622">
        <f t="shared" si="24"/>
        <v>55</v>
      </c>
    </row>
    <row r="329" spans="19:28" x14ac:dyDescent="0.2">
      <c r="S329" s="692">
        <v>54</v>
      </c>
      <c r="T329" s="703">
        <v>312</v>
      </c>
      <c r="U329" s="692">
        <f>LARGE('JSM Eingabe+TW'!$DJ$32:$DU$62,S329)</f>
        <v>9.9999999999999995E-7</v>
      </c>
      <c r="V329" s="622">
        <f t="shared" si="20"/>
        <v>0</v>
      </c>
      <c r="W329" s="622">
        <f t="shared" si="21"/>
        <v>0</v>
      </c>
      <c r="X329" s="635">
        <f t="shared" si="22"/>
        <v>1.830000000000012E-4</v>
      </c>
      <c r="Y329" s="622">
        <f t="shared" si="23"/>
        <v>5.400000000000035E-5</v>
      </c>
      <c r="AA329" s="622" t="str">
        <f>IF(U329&gt;'JSM Eingabe+TW'!$CU$92,'JSM Eingabe+TW'!$CU$92," ")</f>
        <v xml:space="preserve"> </v>
      </c>
      <c r="AB329" s="622">
        <f t="shared" si="24"/>
        <v>54</v>
      </c>
    </row>
    <row r="330" spans="19:28" x14ac:dyDescent="0.2">
      <c r="S330" s="692">
        <v>53</v>
      </c>
      <c r="T330" s="703">
        <v>313</v>
      </c>
      <c r="U330" s="692">
        <f>LARGE('JSM Eingabe+TW'!$DJ$32:$DU$62,S330)</f>
        <v>9.9999999999999995E-7</v>
      </c>
      <c r="V330" s="622">
        <f t="shared" si="20"/>
        <v>0</v>
      </c>
      <c r="W330" s="622">
        <f t="shared" si="21"/>
        <v>0</v>
      </c>
      <c r="X330" s="635">
        <f t="shared" si="22"/>
        <v>1.830000000000012E-4</v>
      </c>
      <c r="Y330" s="622">
        <f t="shared" si="23"/>
        <v>5.3000000000000346E-5</v>
      </c>
      <c r="Z330" s="622">
        <f>P$34</f>
        <v>0</v>
      </c>
      <c r="AA330" s="622" t="str">
        <f>IF(U330&gt;'JSM Eingabe+TW'!$CU$92,'JSM Eingabe+TW'!$CU$92," ")</f>
        <v xml:space="preserve"> </v>
      </c>
      <c r="AB330" s="622">
        <f t="shared" si="24"/>
        <v>53</v>
      </c>
    </row>
    <row r="331" spans="19:28" x14ac:dyDescent="0.2">
      <c r="S331" s="692">
        <v>52</v>
      </c>
      <c r="T331" s="703">
        <v>314</v>
      </c>
      <c r="U331" s="692">
        <f>LARGE('JSM Eingabe+TW'!$DJ$32:$DU$62,S331)</f>
        <v>9.9999999999999995E-7</v>
      </c>
      <c r="V331" s="622">
        <f t="shared" si="20"/>
        <v>0</v>
      </c>
      <c r="W331" s="622">
        <f t="shared" si="21"/>
        <v>0</v>
      </c>
      <c r="X331" s="635">
        <f t="shared" si="22"/>
        <v>1.830000000000012E-4</v>
      </c>
      <c r="Y331" s="622">
        <f t="shared" si="23"/>
        <v>5.2000000000000342E-5</v>
      </c>
      <c r="AA331" s="622" t="str">
        <f>IF(U331&gt;'JSM Eingabe+TW'!$CU$92,'JSM Eingabe+TW'!$CU$92," ")</f>
        <v xml:space="preserve"> </v>
      </c>
      <c r="AB331" s="622">
        <f t="shared" si="24"/>
        <v>52</v>
      </c>
    </row>
    <row r="332" spans="19:28" x14ac:dyDescent="0.2">
      <c r="S332" s="692">
        <v>51</v>
      </c>
      <c r="T332" s="703">
        <v>315</v>
      </c>
      <c r="U332" s="692">
        <f>LARGE('JSM Eingabe+TW'!$DJ$32:$DU$62,S332)</f>
        <v>9.9999999999999995E-7</v>
      </c>
      <c r="V332" s="622">
        <f t="shared" si="20"/>
        <v>0</v>
      </c>
      <c r="W332" s="622">
        <f t="shared" si="21"/>
        <v>0</v>
      </c>
      <c r="X332" s="635">
        <f t="shared" si="22"/>
        <v>1.830000000000012E-4</v>
      </c>
      <c r="Y332" s="622">
        <f t="shared" si="23"/>
        <v>5.1000000000000332E-5</v>
      </c>
      <c r="AA332" s="622" t="str">
        <f>IF(U332&gt;'JSM Eingabe+TW'!$CU$92,'JSM Eingabe+TW'!$CU$92," ")</f>
        <v xml:space="preserve"> </v>
      </c>
      <c r="AB332" s="622">
        <f t="shared" si="24"/>
        <v>51</v>
      </c>
    </row>
    <row r="333" spans="19:28" x14ac:dyDescent="0.2">
      <c r="S333" s="692">
        <v>50</v>
      </c>
      <c r="T333" s="703">
        <v>316</v>
      </c>
      <c r="U333" s="692">
        <f>LARGE('JSM Eingabe+TW'!$DJ$32:$DU$62,S333)</f>
        <v>9.9999999999999995E-7</v>
      </c>
      <c r="V333" s="622">
        <f t="shared" si="20"/>
        <v>0</v>
      </c>
      <c r="W333" s="622">
        <f t="shared" si="21"/>
        <v>0</v>
      </c>
      <c r="X333" s="635">
        <f t="shared" si="22"/>
        <v>1.830000000000012E-4</v>
      </c>
      <c r="Y333" s="622">
        <f t="shared" si="23"/>
        <v>5.0000000000000328E-5</v>
      </c>
      <c r="AA333" s="622" t="str">
        <f>IF(U333&gt;'JSM Eingabe+TW'!$CU$92,'JSM Eingabe+TW'!$CU$92," ")</f>
        <v xml:space="preserve"> </v>
      </c>
      <c r="AB333" s="622">
        <f t="shared" si="24"/>
        <v>50</v>
      </c>
    </row>
    <row r="334" spans="19:28" x14ac:dyDescent="0.2">
      <c r="S334" s="692">
        <v>49</v>
      </c>
      <c r="T334" s="703">
        <v>317</v>
      </c>
      <c r="U334" s="692">
        <f>LARGE('JSM Eingabe+TW'!$DJ$32:$DU$62,S334)</f>
        <v>9.9999999999999995E-7</v>
      </c>
      <c r="V334" s="622">
        <f t="shared" si="20"/>
        <v>0</v>
      </c>
      <c r="W334" s="622">
        <f t="shared" si="21"/>
        <v>0</v>
      </c>
      <c r="X334" s="635">
        <f t="shared" si="22"/>
        <v>1.830000000000012E-4</v>
      </c>
      <c r="Y334" s="622">
        <f t="shared" si="23"/>
        <v>4.9000000000000317E-5</v>
      </c>
      <c r="AA334" s="622" t="str">
        <f>IF(U334&gt;'JSM Eingabe+TW'!$CU$92,'JSM Eingabe+TW'!$CU$92," ")</f>
        <v xml:space="preserve"> </v>
      </c>
      <c r="AB334" s="622">
        <f t="shared" si="24"/>
        <v>49</v>
      </c>
    </row>
    <row r="335" spans="19:28" x14ac:dyDescent="0.2">
      <c r="S335" s="692">
        <v>48</v>
      </c>
      <c r="T335" s="703">
        <v>318</v>
      </c>
      <c r="U335" s="692">
        <f>LARGE('JSM Eingabe+TW'!$DJ$32:$DU$62,S335)</f>
        <v>9.9999999999999995E-7</v>
      </c>
      <c r="V335" s="622">
        <f t="shared" si="20"/>
        <v>0</v>
      </c>
      <c r="W335" s="622">
        <f t="shared" si="21"/>
        <v>0</v>
      </c>
      <c r="X335" s="635">
        <f t="shared" si="22"/>
        <v>1.830000000000012E-4</v>
      </c>
      <c r="Y335" s="622">
        <f t="shared" si="23"/>
        <v>4.8000000000000313E-5</v>
      </c>
      <c r="Z335" s="622">
        <f>P$34</f>
        <v>0</v>
      </c>
      <c r="AA335" s="622" t="str">
        <f>IF(U335&gt;'JSM Eingabe+TW'!$CU$92,'JSM Eingabe+TW'!$CU$92," ")</f>
        <v xml:space="preserve"> </v>
      </c>
      <c r="AB335" s="622">
        <f t="shared" si="24"/>
        <v>48</v>
      </c>
    </row>
    <row r="336" spans="19:28" x14ac:dyDescent="0.2">
      <c r="S336" s="692">
        <v>47</v>
      </c>
      <c r="T336" s="703">
        <v>319</v>
      </c>
      <c r="U336" s="692">
        <f>LARGE('JSM Eingabe+TW'!$DJ$32:$DU$62,S336)</f>
        <v>9.9999999999999995E-7</v>
      </c>
      <c r="V336" s="622">
        <f t="shared" si="20"/>
        <v>0</v>
      </c>
      <c r="W336" s="622">
        <f t="shared" si="21"/>
        <v>0</v>
      </c>
      <c r="X336" s="635">
        <f t="shared" si="22"/>
        <v>1.830000000000012E-4</v>
      </c>
      <c r="Y336" s="622">
        <f t="shared" si="23"/>
        <v>4.7000000000000309E-5</v>
      </c>
      <c r="AA336" s="622" t="str">
        <f>IF(U336&gt;'JSM Eingabe+TW'!$CU$92,'JSM Eingabe+TW'!$CU$92," ")</f>
        <v xml:space="preserve"> </v>
      </c>
      <c r="AB336" s="622">
        <f t="shared" si="24"/>
        <v>47</v>
      </c>
    </row>
    <row r="337" spans="19:28" x14ac:dyDescent="0.2">
      <c r="S337" s="692">
        <v>46</v>
      </c>
      <c r="T337" s="703">
        <v>320</v>
      </c>
      <c r="U337" s="692">
        <f>LARGE('JSM Eingabe+TW'!$DJ$32:$DU$62,S337)</f>
        <v>9.9999999999999995E-7</v>
      </c>
      <c r="V337" s="622">
        <f t="shared" si="20"/>
        <v>0</v>
      </c>
      <c r="W337" s="622">
        <f t="shared" si="21"/>
        <v>0</v>
      </c>
      <c r="X337" s="635">
        <f t="shared" si="22"/>
        <v>1.830000000000012E-4</v>
      </c>
      <c r="Y337" s="622">
        <f t="shared" si="23"/>
        <v>4.6000000000000298E-5</v>
      </c>
      <c r="AA337" s="622" t="str">
        <f>IF(U337&gt;'JSM Eingabe+TW'!$CU$92,'JSM Eingabe+TW'!$CU$92," ")</f>
        <v xml:space="preserve"> </v>
      </c>
      <c r="AB337" s="622">
        <f t="shared" si="24"/>
        <v>46</v>
      </c>
    </row>
    <row r="338" spans="19:28" x14ac:dyDescent="0.2">
      <c r="S338" s="692">
        <v>45</v>
      </c>
      <c r="T338" s="703">
        <v>321</v>
      </c>
      <c r="U338" s="692">
        <f>LARGE('JSM Eingabe+TW'!$DJ$32:$DU$62,S338)</f>
        <v>9.9999999999999995E-7</v>
      </c>
      <c r="V338" s="622">
        <f t="shared" ref="V338:V382" si="25">IF(T338=V$13,LARGE(U$18:U$382,1),0)</f>
        <v>0</v>
      </c>
      <c r="W338" s="622">
        <f t="shared" ref="W338:W382" si="26">IF(T338=W$13,LARGE(U$18:U$382,1),0)</f>
        <v>0</v>
      </c>
      <c r="X338" s="635">
        <f t="shared" ref="X338:X382" si="27">P$35</f>
        <v>1.830000000000012E-4</v>
      </c>
      <c r="Y338" s="622">
        <f t="shared" ref="Y338:Y382" si="28">IF(T338&lt;=$W$13,U338,((U$15-P$34)/(365-W$13)*AB338)+P$34)</f>
        <v>4.5000000000000294E-5</v>
      </c>
      <c r="AA338" s="622" t="str">
        <f>IF(U338&gt;'JSM Eingabe+TW'!$CU$92,'JSM Eingabe+TW'!$CU$92," ")</f>
        <v xml:space="preserve"> </v>
      </c>
      <c r="AB338" s="622">
        <f t="shared" si="24"/>
        <v>45</v>
      </c>
    </row>
    <row r="339" spans="19:28" x14ac:dyDescent="0.2">
      <c r="S339" s="692">
        <v>44</v>
      </c>
      <c r="T339" s="703">
        <v>322</v>
      </c>
      <c r="U339" s="692">
        <f>LARGE('JSM Eingabe+TW'!$DJ$32:$DU$62,S339)</f>
        <v>9.9999999999999995E-7</v>
      </c>
      <c r="V339" s="622">
        <f t="shared" si="25"/>
        <v>0</v>
      </c>
      <c r="W339" s="622">
        <f t="shared" si="26"/>
        <v>0</v>
      </c>
      <c r="X339" s="635">
        <f t="shared" si="27"/>
        <v>1.830000000000012E-4</v>
      </c>
      <c r="Y339" s="622">
        <f t="shared" si="28"/>
        <v>4.4000000000000283E-5</v>
      </c>
      <c r="AA339" s="622" t="str">
        <f>IF(U339&gt;'JSM Eingabe+TW'!$CU$92,'JSM Eingabe+TW'!$CU$92," ")</f>
        <v xml:space="preserve"> </v>
      </c>
      <c r="AB339" s="622">
        <f t="shared" ref="AB339:AB382" si="29">IF(T339&lt;=W$13,0,S339)</f>
        <v>44</v>
      </c>
    </row>
    <row r="340" spans="19:28" x14ac:dyDescent="0.2">
      <c r="S340" s="692">
        <v>43</v>
      </c>
      <c r="T340" s="703">
        <v>323</v>
      </c>
      <c r="U340" s="692">
        <f>LARGE('JSM Eingabe+TW'!$DJ$32:$DU$62,S340)</f>
        <v>9.9999999999999995E-7</v>
      </c>
      <c r="V340" s="622">
        <f t="shared" si="25"/>
        <v>0</v>
      </c>
      <c r="W340" s="622">
        <f t="shared" si="26"/>
        <v>0</v>
      </c>
      <c r="X340" s="635">
        <f t="shared" si="27"/>
        <v>1.830000000000012E-4</v>
      </c>
      <c r="Y340" s="622">
        <f t="shared" si="28"/>
        <v>4.3000000000000279E-5</v>
      </c>
      <c r="Z340" s="622">
        <f>P$34</f>
        <v>0</v>
      </c>
      <c r="AA340" s="622" t="str">
        <f>IF(U340&gt;'JSM Eingabe+TW'!$CU$92,'JSM Eingabe+TW'!$CU$92," ")</f>
        <v xml:space="preserve"> </v>
      </c>
      <c r="AB340" s="622">
        <f t="shared" si="29"/>
        <v>43</v>
      </c>
    </row>
    <row r="341" spans="19:28" x14ac:dyDescent="0.2">
      <c r="S341" s="692">
        <v>42</v>
      </c>
      <c r="T341" s="703">
        <v>324</v>
      </c>
      <c r="U341" s="692">
        <f>LARGE('JSM Eingabe+TW'!$DJ$32:$DU$62,S341)</f>
        <v>9.9999999999999995E-7</v>
      </c>
      <c r="V341" s="622">
        <f t="shared" si="25"/>
        <v>0</v>
      </c>
      <c r="W341" s="622">
        <f t="shared" si="26"/>
        <v>0</v>
      </c>
      <c r="X341" s="635">
        <f t="shared" si="27"/>
        <v>1.830000000000012E-4</v>
      </c>
      <c r="Y341" s="622">
        <f t="shared" si="28"/>
        <v>4.2000000000000276E-5</v>
      </c>
      <c r="AA341" s="622" t="str">
        <f>IF(U341&gt;'JSM Eingabe+TW'!$CU$92,'JSM Eingabe+TW'!$CU$92," ")</f>
        <v xml:space="preserve"> </v>
      </c>
      <c r="AB341" s="622">
        <f t="shared" si="29"/>
        <v>42</v>
      </c>
    </row>
    <row r="342" spans="19:28" x14ac:dyDescent="0.2">
      <c r="S342" s="692">
        <v>41</v>
      </c>
      <c r="T342" s="703">
        <v>325</v>
      </c>
      <c r="U342" s="692">
        <f>LARGE('JSM Eingabe+TW'!$DJ$32:$DU$62,S342)</f>
        <v>9.9999999999999995E-7</v>
      </c>
      <c r="V342" s="622">
        <f t="shared" si="25"/>
        <v>0</v>
      </c>
      <c r="W342" s="622">
        <f t="shared" si="26"/>
        <v>0</v>
      </c>
      <c r="X342" s="635">
        <f t="shared" si="27"/>
        <v>1.830000000000012E-4</v>
      </c>
      <c r="Y342" s="622">
        <f t="shared" si="28"/>
        <v>4.1000000000000265E-5</v>
      </c>
      <c r="AA342" s="622" t="str">
        <f>IF(U342&gt;'JSM Eingabe+TW'!$CU$92,'JSM Eingabe+TW'!$CU$92," ")</f>
        <v xml:space="preserve"> </v>
      </c>
      <c r="AB342" s="622">
        <f t="shared" si="29"/>
        <v>41</v>
      </c>
    </row>
    <row r="343" spans="19:28" x14ac:dyDescent="0.2">
      <c r="S343" s="692">
        <v>40</v>
      </c>
      <c r="T343" s="703">
        <v>326</v>
      </c>
      <c r="U343" s="692">
        <f>LARGE('JSM Eingabe+TW'!$DJ$32:$DU$62,S343)</f>
        <v>9.9999999999999995E-7</v>
      </c>
      <c r="V343" s="622">
        <f t="shared" si="25"/>
        <v>0</v>
      </c>
      <c r="W343" s="622">
        <f t="shared" si="26"/>
        <v>0</v>
      </c>
      <c r="X343" s="635">
        <f t="shared" si="27"/>
        <v>1.830000000000012E-4</v>
      </c>
      <c r="Y343" s="622">
        <f t="shared" si="28"/>
        <v>4.0000000000000261E-5</v>
      </c>
      <c r="AA343" s="622" t="str">
        <f>IF(U343&gt;'JSM Eingabe+TW'!$CU$92,'JSM Eingabe+TW'!$CU$92," ")</f>
        <v xml:space="preserve"> </v>
      </c>
      <c r="AB343" s="622">
        <f t="shared" si="29"/>
        <v>40</v>
      </c>
    </row>
    <row r="344" spans="19:28" x14ac:dyDescent="0.2">
      <c r="S344" s="692">
        <v>39</v>
      </c>
      <c r="T344" s="703">
        <v>327</v>
      </c>
      <c r="U344" s="692">
        <f>LARGE('JSM Eingabe+TW'!$DJ$32:$DU$62,S344)</f>
        <v>9.9999999999999995E-7</v>
      </c>
      <c r="V344" s="622">
        <f t="shared" si="25"/>
        <v>0</v>
      </c>
      <c r="W344" s="622">
        <f t="shared" si="26"/>
        <v>0</v>
      </c>
      <c r="X344" s="635">
        <f t="shared" si="27"/>
        <v>1.830000000000012E-4</v>
      </c>
      <c r="Y344" s="622">
        <f t="shared" si="28"/>
        <v>3.9000000000000257E-5</v>
      </c>
      <c r="AA344" s="622" t="str">
        <f>IF(U344&gt;'JSM Eingabe+TW'!$CU$92,'JSM Eingabe+TW'!$CU$92," ")</f>
        <v xml:space="preserve"> </v>
      </c>
      <c r="AB344" s="622">
        <f t="shared" si="29"/>
        <v>39</v>
      </c>
    </row>
    <row r="345" spans="19:28" x14ac:dyDescent="0.2">
      <c r="S345" s="692">
        <v>38</v>
      </c>
      <c r="T345" s="703">
        <v>328</v>
      </c>
      <c r="U345" s="692">
        <f>LARGE('JSM Eingabe+TW'!$DJ$32:$DU$62,S345)</f>
        <v>9.9999999999999995E-7</v>
      </c>
      <c r="V345" s="622">
        <f t="shared" si="25"/>
        <v>0</v>
      </c>
      <c r="W345" s="622">
        <f t="shared" si="26"/>
        <v>0</v>
      </c>
      <c r="X345" s="635">
        <f t="shared" si="27"/>
        <v>1.830000000000012E-4</v>
      </c>
      <c r="Y345" s="622">
        <f t="shared" si="28"/>
        <v>3.8000000000000246E-5</v>
      </c>
      <c r="Z345" s="622">
        <f>P$34</f>
        <v>0</v>
      </c>
      <c r="AA345" s="622" t="str">
        <f>IF(U345&gt;'JSM Eingabe+TW'!$CU$92,'JSM Eingabe+TW'!$CU$92," ")</f>
        <v xml:space="preserve"> </v>
      </c>
      <c r="AB345" s="622">
        <f t="shared" si="29"/>
        <v>38</v>
      </c>
    </row>
    <row r="346" spans="19:28" x14ac:dyDescent="0.2">
      <c r="S346" s="692">
        <v>37</v>
      </c>
      <c r="T346" s="703">
        <v>329</v>
      </c>
      <c r="U346" s="692">
        <f>LARGE('JSM Eingabe+TW'!$DJ$32:$DU$62,S346)</f>
        <v>9.9999999999999995E-7</v>
      </c>
      <c r="V346" s="622">
        <f t="shared" si="25"/>
        <v>0</v>
      </c>
      <c r="W346" s="622">
        <f t="shared" si="26"/>
        <v>0</v>
      </c>
      <c r="X346" s="635">
        <f t="shared" si="27"/>
        <v>1.830000000000012E-4</v>
      </c>
      <c r="Y346" s="622">
        <f t="shared" si="28"/>
        <v>3.7000000000000242E-5</v>
      </c>
      <c r="AA346" s="622" t="str">
        <f>IF(U346&gt;'JSM Eingabe+TW'!$CU$92,'JSM Eingabe+TW'!$CU$92," ")</f>
        <v xml:space="preserve"> </v>
      </c>
      <c r="AB346" s="622">
        <f t="shared" si="29"/>
        <v>37</v>
      </c>
    </row>
    <row r="347" spans="19:28" x14ac:dyDescent="0.2">
      <c r="S347" s="692">
        <v>36</v>
      </c>
      <c r="T347" s="703">
        <v>330</v>
      </c>
      <c r="U347" s="692">
        <f>LARGE('JSM Eingabe+TW'!$DJ$32:$DU$62,S347)</f>
        <v>9.9999999999999995E-7</v>
      </c>
      <c r="V347" s="622">
        <f t="shared" si="25"/>
        <v>0</v>
      </c>
      <c r="W347" s="622">
        <f t="shared" si="26"/>
        <v>0</v>
      </c>
      <c r="X347" s="635">
        <f t="shared" si="27"/>
        <v>1.830000000000012E-4</v>
      </c>
      <c r="Y347" s="622">
        <f t="shared" si="28"/>
        <v>3.6000000000000238E-5</v>
      </c>
      <c r="AA347" s="622" t="str">
        <f>IF(U347&gt;'JSM Eingabe+TW'!$CU$92,'JSM Eingabe+TW'!$CU$92," ")</f>
        <v xml:space="preserve"> </v>
      </c>
      <c r="AB347" s="622">
        <f t="shared" si="29"/>
        <v>36</v>
      </c>
    </row>
    <row r="348" spans="19:28" x14ac:dyDescent="0.2">
      <c r="S348" s="692">
        <v>35</v>
      </c>
      <c r="T348" s="703">
        <v>331</v>
      </c>
      <c r="U348" s="692">
        <f>LARGE('JSM Eingabe+TW'!$DJ$32:$DU$62,S348)</f>
        <v>9.9999999999999995E-7</v>
      </c>
      <c r="V348" s="622">
        <f t="shared" si="25"/>
        <v>0</v>
      </c>
      <c r="W348" s="622">
        <f t="shared" si="26"/>
        <v>0</v>
      </c>
      <c r="X348" s="635">
        <f t="shared" si="27"/>
        <v>1.830000000000012E-4</v>
      </c>
      <c r="Y348" s="622">
        <f t="shared" si="28"/>
        <v>3.5000000000000227E-5</v>
      </c>
      <c r="AA348" s="622" t="str">
        <f>IF(U348&gt;'JSM Eingabe+TW'!$CU$92,'JSM Eingabe+TW'!$CU$92," ")</f>
        <v xml:space="preserve"> </v>
      </c>
      <c r="AB348" s="622">
        <f t="shared" si="29"/>
        <v>35</v>
      </c>
    </row>
    <row r="349" spans="19:28" x14ac:dyDescent="0.2">
      <c r="S349" s="692">
        <v>34</v>
      </c>
      <c r="T349" s="703">
        <v>332</v>
      </c>
      <c r="U349" s="692">
        <f>LARGE('JSM Eingabe+TW'!$DJ$32:$DU$62,S349)</f>
        <v>9.9999999999999995E-7</v>
      </c>
      <c r="V349" s="622">
        <f t="shared" si="25"/>
        <v>0</v>
      </c>
      <c r="W349" s="622">
        <f t="shared" si="26"/>
        <v>0</v>
      </c>
      <c r="X349" s="635">
        <f t="shared" si="27"/>
        <v>1.830000000000012E-4</v>
      </c>
      <c r="Y349" s="622">
        <f t="shared" si="28"/>
        <v>3.4000000000000223E-5</v>
      </c>
      <c r="AA349" s="622" t="str">
        <f>IF(U349&gt;'JSM Eingabe+TW'!$CU$92,'JSM Eingabe+TW'!$CU$92," ")</f>
        <v xml:space="preserve"> </v>
      </c>
      <c r="AB349" s="622">
        <f t="shared" si="29"/>
        <v>34</v>
      </c>
    </row>
    <row r="350" spans="19:28" x14ac:dyDescent="0.2">
      <c r="S350" s="692">
        <v>33</v>
      </c>
      <c r="T350" s="703">
        <v>333</v>
      </c>
      <c r="U350" s="692">
        <f>LARGE('JSM Eingabe+TW'!$DJ$32:$DU$62,S350)</f>
        <v>9.9999999999999995E-7</v>
      </c>
      <c r="V350" s="622">
        <f t="shared" si="25"/>
        <v>0</v>
      </c>
      <c r="W350" s="622">
        <f t="shared" si="26"/>
        <v>0</v>
      </c>
      <c r="X350" s="635">
        <f t="shared" si="27"/>
        <v>1.830000000000012E-4</v>
      </c>
      <c r="Y350" s="622">
        <f t="shared" si="28"/>
        <v>3.3000000000000213E-5</v>
      </c>
      <c r="Z350" s="622">
        <f>P$34</f>
        <v>0</v>
      </c>
      <c r="AA350" s="622" t="str">
        <f>IF(U350&gt;'JSM Eingabe+TW'!$CU$92,'JSM Eingabe+TW'!$CU$92," ")</f>
        <v xml:space="preserve"> </v>
      </c>
      <c r="AB350" s="622">
        <f t="shared" si="29"/>
        <v>33</v>
      </c>
    </row>
    <row r="351" spans="19:28" x14ac:dyDescent="0.2">
      <c r="S351" s="692">
        <v>32</v>
      </c>
      <c r="T351" s="703">
        <v>334</v>
      </c>
      <c r="U351" s="692">
        <f>LARGE('JSM Eingabe+TW'!$DJ$32:$DU$62,S351)</f>
        <v>9.9999999999999995E-7</v>
      </c>
      <c r="V351" s="622">
        <f t="shared" si="25"/>
        <v>0</v>
      </c>
      <c r="W351" s="622">
        <f t="shared" si="26"/>
        <v>0</v>
      </c>
      <c r="X351" s="635">
        <f t="shared" si="27"/>
        <v>1.830000000000012E-4</v>
      </c>
      <c r="Y351" s="622">
        <f t="shared" si="28"/>
        <v>3.2000000000000209E-5</v>
      </c>
      <c r="AA351" s="622" t="str">
        <f>IF(U351&gt;'JSM Eingabe+TW'!$CU$92,'JSM Eingabe+TW'!$CU$92," ")</f>
        <v xml:space="preserve"> </v>
      </c>
      <c r="AB351" s="622">
        <f t="shared" si="29"/>
        <v>32</v>
      </c>
    </row>
    <row r="352" spans="19:28" x14ac:dyDescent="0.2">
      <c r="S352" s="692">
        <v>31</v>
      </c>
      <c r="T352" s="703">
        <v>335</v>
      </c>
      <c r="U352" s="692">
        <f>LARGE('JSM Eingabe+TW'!$DJ$32:$DU$62,S352)</f>
        <v>9.9999999999999995E-7</v>
      </c>
      <c r="V352" s="622">
        <f t="shared" si="25"/>
        <v>0</v>
      </c>
      <c r="W352" s="622">
        <f t="shared" si="26"/>
        <v>0</v>
      </c>
      <c r="X352" s="635">
        <f t="shared" si="27"/>
        <v>1.830000000000012E-4</v>
      </c>
      <c r="Y352" s="622">
        <f t="shared" si="28"/>
        <v>3.1000000000000205E-5</v>
      </c>
      <c r="AA352" s="622" t="str">
        <f>IF(U352&gt;'JSM Eingabe+TW'!$CU$92,'JSM Eingabe+TW'!$CU$92," ")</f>
        <v xml:space="preserve"> </v>
      </c>
      <c r="AB352" s="622">
        <f t="shared" si="29"/>
        <v>31</v>
      </c>
    </row>
    <row r="353" spans="19:28" x14ac:dyDescent="0.2">
      <c r="S353" s="692">
        <v>30</v>
      </c>
      <c r="T353" s="703">
        <v>336</v>
      </c>
      <c r="U353" s="692">
        <f>LARGE('JSM Eingabe+TW'!$DJ$32:$DU$62,S353)</f>
        <v>9.9999999999999995E-7</v>
      </c>
      <c r="V353" s="622">
        <f t="shared" si="25"/>
        <v>0</v>
      </c>
      <c r="W353" s="622">
        <f t="shared" si="26"/>
        <v>0</v>
      </c>
      <c r="X353" s="635">
        <f t="shared" si="27"/>
        <v>1.830000000000012E-4</v>
      </c>
      <c r="Y353" s="622">
        <f t="shared" si="28"/>
        <v>3.0000000000000194E-5</v>
      </c>
      <c r="AA353" s="622" t="str">
        <f>IF(U353&gt;'JSM Eingabe+TW'!$CU$92,'JSM Eingabe+TW'!$CU$92," ")</f>
        <v xml:space="preserve"> </v>
      </c>
      <c r="AB353" s="622">
        <f t="shared" si="29"/>
        <v>30</v>
      </c>
    </row>
    <row r="354" spans="19:28" x14ac:dyDescent="0.2">
      <c r="S354" s="692">
        <v>29</v>
      </c>
      <c r="T354" s="703">
        <v>337</v>
      </c>
      <c r="U354" s="692">
        <f>LARGE('JSM Eingabe+TW'!$DJ$32:$DU$62,S354)</f>
        <v>9.9999999999999995E-7</v>
      </c>
      <c r="V354" s="622">
        <f t="shared" si="25"/>
        <v>0</v>
      </c>
      <c r="W354" s="622">
        <f t="shared" si="26"/>
        <v>0</v>
      </c>
      <c r="X354" s="635">
        <f t="shared" si="27"/>
        <v>1.830000000000012E-4</v>
      </c>
      <c r="Y354" s="622">
        <f t="shared" si="28"/>
        <v>2.900000000000019E-5</v>
      </c>
      <c r="AA354" s="622" t="str">
        <f>IF(U354&gt;'JSM Eingabe+TW'!$CU$92,'JSM Eingabe+TW'!$CU$92," ")</f>
        <v xml:space="preserve"> </v>
      </c>
      <c r="AB354" s="622">
        <f t="shared" si="29"/>
        <v>29</v>
      </c>
    </row>
    <row r="355" spans="19:28" x14ac:dyDescent="0.2">
      <c r="S355" s="692">
        <v>28</v>
      </c>
      <c r="T355" s="703">
        <v>338</v>
      </c>
      <c r="U355" s="692">
        <f>LARGE('JSM Eingabe+TW'!$DJ$32:$DU$62,S355)</f>
        <v>9.9999999999999995E-7</v>
      </c>
      <c r="V355" s="622">
        <f t="shared" si="25"/>
        <v>0</v>
      </c>
      <c r="W355" s="622">
        <f t="shared" si="26"/>
        <v>0</v>
      </c>
      <c r="X355" s="635">
        <f t="shared" si="27"/>
        <v>1.830000000000012E-4</v>
      </c>
      <c r="Y355" s="622">
        <f t="shared" si="28"/>
        <v>2.8000000000000183E-5</v>
      </c>
      <c r="Z355" s="622">
        <f>P$34</f>
        <v>0</v>
      </c>
      <c r="AA355" s="622" t="str">
        <f>IF(U355&gt;'JSM Eingabe+TW'!$CU$92,'JSM Eingabe+TW'!$CU$92," ")</f>
        <v xml:space="preserve"> </v>
      </c>
      <c r="AB355" s="622">
        <f t="shared" si="29"/>
        <v>28</v>
      </c>
    </row>
    <row r="356" spans="19:28" x14ac:dyDescent="0.2">
      <c r="S356" s="692">
        <v>27</v>
      </c>
      <c r="T356" s="703">
        <v>339</v>
      </c>
      <c r="U356" s="692">
        <f>LARGE('JSM Eingabe+TW'!$DJ$32:$DU$62,S356)</f>
        <v>9.9999999999999995E-7</v>
      </c>
      <c r="V356" s="622">
        <f t="shared" si="25"/>
        <v>0</v>
      </c>
      <c r="W356" s="622">
        <f t="shared" si="26"/>
        <v>0</v>
      </c>
      <c r="X356" s="635">
        <f t="shared" si="27"/>
        <v>1.830000000000012E-4</v>
      </c>
      <c r="Y356" s="622">
        <f t="shared" si="28"/>
        <v>2.7000000000000175E-5</v>
      </c>
      <c r="AA356" s="622" t="str">
        <f>IF(U356&gt;'JSM Eingabe+TW'!$CU$92,'JSM Eingabe+TW'!$CU$92," ")</f>
        <v xml:space="preserve"> </v>
      </c>
      <c r="AB356" s="622">
        <f t="shared" si="29"/>
        <v>27</v>
      </c>
    </row>
    <row r="357" spans="19:28" x14ac:dyDescent="0.2">
      <c r="S357" s="692">
        <v>26</v>
      </c>
      <c r="T357" s="703">
        <v>340</v>
      </c>
      <c r="U357" s="692">
        <f>LARGE('JSM Eingabe+TW'!$DJ$32:$DU$62,S357)</f>
        <v>9.9999999999999995E-7</v>
      </c>
      <c r="V357" s="622">
        <f t="shared" si="25"/>
        <v>0</v>
      </c>
      <c r="W357" s="622">
        <f t="shared" si="26"/>
        <v>0</v>
      </c>
      <c r="X357" s="635">
        <f t="shared" si="27"/>
        <v>1.830000000000012E-4</v>
      </c>
      <c r="Y357" s="622">
        <f t="shared" si="28"/>
        <v>2.6000000000000171E-5</v>
      </c>
      <c r="AA357" s="622" t="str">
        <f>IF(U357&gt;'JSM Eingabe+TW'!$CU$92,'JSM Eingabe+TW'!$CU$92," ")</f>
        <v xml:space="preserve"> </v>
      </c>
      <c r="AB357" s="622">
        <f t="shared" si="29"/>
        <v>26</v>
      </c>
    </row>
    <row r="358" spans="19:28" x14ac:dyDescent="0.2">
      <c r="S358" s="692">
        <v>25</v>
      </c>
      <c r="T358" s="703">
        <v>341</v>
      </c>
      <c r="U358" s="692">
        <f>LARGE('JSM Eingabe+TW'!$DJ$32:$DU$62,S358)</f>
        <v>9.9999999999999995E-7</v>
      </c>
      <c r="V358" s="622">
        <f t="shared" si="25"/>
        <v>0</v>
      </c>
      <c r="W358" s="622">
        <f t="shared" si="26"/>
        <v>0</v>
      </c>
      <c r="X358" s="635">
        <f t="shared" si="27"/>
        <v>1.830000000000012E-4</v>
      </c>
      <c r="Y358" s="622">
        <f t="shared" si="28"/>
        <v>2.5000000000000164E-5</v>
      </c>
      <c r="AA358" s="622" t="str">
        <f>IF(U358&gt;'JSM Eingabe+TW'!$CU$92,'JSM Eingabe+TW'!$CU$92," ")</f>
        <v xml:space="preserve"> </v>
      </c>
      <c r="AB358" s="622">
        <f t="shared" si="29"/>
        <v>25</v>
      </c>
    </row>
    <row r="359" spans="19:28" x14ac:dyDescent="0.2">
      <c r="S359" s="692">
        <v>24</v>
      </c>
      <c r="T359" s="703">
        <v>342</v>
      </c>
      <c r="U359" s="692">
        <f>LARGE('JSM Eingabe+TW'!$DJ$32:$DU$62,S359)</f>
        <v>9.9999999999999995E-7</v>
      </c>
      <c r="V359" s="622">
        <f t="shared" si="25"/>
        <v>0</v>
      </c>
      <c r="W359" s="622">
        <f t="shared" si="26"/>
        <v>0</v>
      </c>
      <c r="X359" s="635">
        <f t="shared" si="27"/>
        <v>1.830000000000012E-4</v>
      </c>
      <c r="Y359" s="622">
        <f t="shared" si="28"/>
        <v>2.4000000000000156E-5</v>
      </c>
      <c r="AA359" s="622" t="str">
        <f>IF(U359&gt;'JSM Eingabe+TW'!$CU$92,'JSM Eingabe+TW'!$CU$92," ")</f>
        <v xml:space="preserve"> </v>
      </c>
      <c r="AB359" s="622">
        <f t="shared" si="29"/>
        <v>24</v>
      </c>
    </row>
    <row r="360" spans="19:28" x14ac:dyDescent="0.2">
      <c r="S360" s="692">
        <v>23</v>
      </c>
      <c r="T360" s="703">
        <v>343</v>
      </c>
      <c r="U360" s="692">
        <f>LARGE('JSM Eingabe+TW'!$DJ$32:$DU$62,S360)</f>
        <v>9.9999999999999995E-7</v>
      </c>
      <c r="V360" s="622">
        <f t="shared" si="25"/>
        <v>0</v>
      </c>
      <c r="W360" s="622">
        <f t="shared" si="26"/>
        <v>0</v>
      </c>
      <c r="X360" s="635">
        <f t="shared" si="27"/>
        <v>1.830000000000012E-4</v>
      </c>
      <c r="Y360" s="622">
        <f t="shared" si="28"/>
        <v>2.3000000000000149E-5</v>
      </c>
      <c r="Z360" s="622">
        <f>P$34</f>
        <v>0</v>
      </c>
      <c r="AA360" s="622" t="str">
        <f>IF(U360&gt;'JSM Eingabe+TW'!$CU$92,'JSM Eingabe+TW'!$CU$92," ")</f>
        <v xml:space="preserve"> </v>
      </c>
      <c r="AB360" s="622">
        <f t="shared" si="29"/>
        <v>23</v>
      </c>
    </row>
    <row r="361" spans="19:28" x14ac:dyDescent="0.2">
      <c r="S361" s="692">
        <v>22</v>
      </c>
      <c r="T361" s="703">
        <v>344</v>
      </c>
      <c r="U361" s="692">
        <f>LARGE('JSM Eingabe+TW'!$DJ$32:$DU$62,S361)</f>
        <v>9.9999999999999995E-7</v>
      </c>
      <c r="V361" s="622">
        <f t="shared" si="25"/>
        <v>0</v>
      </c>
      <c r="W361" s="622">
        <f t="shared" si="26"/>
        <v>0</v>
      </c>
      <c r="X361" s="635">
        <f t="shared" si="27"/>
        <v>1.830000000000012E-4</v>
      </c>
      <c r="Y361" s="622">
        <f t="shared" si="28"/>
        <v>2.2000000000000142E-5</v>
      </c>
      <c r="AA361" s="622" t="str">
        <f>IF(U361&gt;'JSM Eingabe+TW'!$CU$92,'JSM Eingabe+TW'!$CU$92," ")</f>
        <v xml:space="preserve"> </v>
      </c>
      <c r="AB361" s="622">
        <f t="shared" si="29"/>
        <v>22</v>
      </c>
    </row>
    <row r="362" spans="19:28" x14ac:dyDescent="0.2">
      <c r="S362" s="692">
        <v>21</v>
      </c>
      <c r="T362" s="703">
        <v>345</v>
      </c>
      <c r="U362" s="692">
        <f>LARGE('JSM Eingabe+TW'!$DJ$32:$DU$62,S362)</f>
        <v>9.9999999999999995E-7</v>
      </c>
      <c r="V362" s="622">
        <f t="shared" si="25"/>
        <v>0</v>
      </c>
      <c r="W362" s="622">
        <f t="shared" si="26"/>
        <v>0</v>
      </c>
      <c r="X362" s="635">
        <f t="shared" si="27"/>
        <v>1.830000000000012E-4</v>
      </c>
      <c r="Y362" s="622">
        <f t="shared" si="28"/>
        <v>2.1000000000000138E-5</v>
      </c>
      <c r="AA362" s="622" t="str">
        <f>IF(U362&gt;'JSM Eingabe+TW'!$CU$92,'JSM Eingabe+TW'!$CU$92," ")</f>
        <v xml:space="preserve"> </v>
      </c>
      <c r="AB362" s="622">
        <f t="shared" si="29"/>
        <v>21</v>
      </c>
    </row>
    <row r="363" spans="19:28" x14ac:dyDescent="0.2">
      <c r="S363" s="692">
        <v>20</v>
      </c>
      <c r="T363" s="703">
        <v>346</v>
      </c>
      <c r="U363" s="692">
        <f>LARGE('JSM Eingabe+TW'!$DJ$32:$DU$62,S363)</f>
        <v>9.9999999999999995E-7</v>
      </c>
      <c r="V363" s="622">
        <f t="shared" si="25"/>
        <v>0</v>
      </c>
      <c r="W363" s="622">
        <f t="shared" si="26"/>
        <v>0</v>
      </c>
      <c r="X363" s="635">
        <f t="shared" si="27"/>
        <v>1.830000000000012E-4</v>
      </c>
      <c r="Y363" s="622">
        <f t="shared" si="28"/>
        <v>2.000000000000013E-5</v>
      </c>
      <c r="AA363" s="622" t="str">
        <f>IF(U363&gt;'JSM Eingabe+TW'!$CU$92,'JSM Eingabe+TW'!$CU$92," ")</f>
        <v xml:space="preserve"> </v>
      </c>
      <c r="AB363" s="622">
        <f t="shared" si="29"/>
        <v>20</v>
      </c>
    </row>
    <row r="364" spans="19:28" x14ac:dyDescent="0.2">
      <c r="S364" s="692">
        <v>19</v>
      </c>
      <c r="T364" s="703">
        <v>347</v>
      </c>
      <c r="U364" s="692">
        <f>LARGE('JSM Eingabe+TW'!$DJ$32:$DU$62,S364)</f>
        <v>9.9999999999999995E-7</v>
      </c>
      <c r="V364" s="622">
        <f t="shared" si="25"/>
        <v>0</v>
      </c>
      <c r="W364" s="622">
        <f t="shared" si="26"/>
        <v>0</v>
      </c>
      <c r="X364" s="635">
        <f t="shared" si="27"/>
        <v>1.830000000000012E-4</v>
      </c>
      <c r="Y364" s="622">
        <f t="shared" si="28"/>
        <v>1.9000000000000123E-5</v>
      </c>
      <c r="AA364" s="622" t="str">
        <f>IF(U364&gt;'JSM Eingabe+TW'!$CU$92,'JSM Eingabe+TW'!$CU$92," ")</f>
        <v xml:space="preserve"> </v>
      </c>
      <c r="AB364" s="622">
        <f t="shared" si="29"/>
        <v>19</v>
      </c>
    </row>
    <row r="365" spans="19:28" x14ac:dyDescent="0.2">
      <c r="S365" s="692">
        <v>18</v>
      </c>
      <c r="T365" s="703">
        <v>348</v>
      </c>
      <c r="U365" s="692">
        <f>LARGE('JSM Eingabe+TW'!$DJ$32:$DU$62,S365)</f>
        <v>9.9999999999999995E-7</v>
      </c>
      <c r="V365" s="622">
        <f t="shared" si="25"/>
        <v>0</v>
      </c>
      <c r="W365" s="622">
        <f t="shared" si="26"/>
        <v>0</v>
      </c>
      <c r="X365" s="635">
        <f t="shared" si="27"/>
        <v>1.830000000000012E-4</v>
      </c>
      <c r="Y365" s="622">
        <f t="shared" si="28"/>
        <v>1.8000000000000119E-5</v>
      </c>
      <c r="Z365" s="622">
        <f>P$34</f>
        <v>0</v>
      </c>
      <c r="AA365" s="622" t="str">
        <f>IF(U365&gt;'JSM Eingabe+TW'!$CU$92,'JSM Eingabe+TW'!$CU$92," ")</f>
        <v xml:space="preserve"> </v>
      </c>
      <c r="AB365" s="622">
        <f t="shared" si="29"/>
        <v>18</v>
      </c>
    </row>
    <row r="366" spans="19:28" x14ac:dyDescent="0.2">
      <c r="S366" s="692">
        <v>17</v>
      </c>
      <c r="T366" s="703">
        <v>349</v>
      </c>
      <c r="U366" s="692">
        <f>LARGE('JSM Eingabe+TW'!$DJ$32:$DU$62,S366)</f>
        <v>9.9999999999999995E-7</v>
      </c>
      <c r="V366" s="622">
        <f t="shared" si="25"/>
        <v>0</v>
      </c>
      <c r="W366" s="622">
        <f t="shared" si="26"/>
        <v>0</v>
      </c>
      <c r="X366" s="635">
        <f t="shared" si="27"/>
        <v>1.830000000000012E-4</v>
      </c>
      <c r="Y366" s="622">
        <f t="shared" si="28"/>
        <v>1.7000000000000112E-5</v>
      </c>
      <c r="AA366" s="622" t="str">
        <f>IF(U366&gt;'JSM Eingabe+TW'!$CU$92,'JSM Eingabe+TW'!$CU$92," ")</f>
        <v xml:space="preserve"> </v>
      </c>
      <c r="AB366" s="622">
        <f t="shared" si="29"/>
        <v>17</v>
      </c>
    </row>
    <row r="367" spans="19:28" x14ac:dyDescent="0.2">
      <c r="S367" s="692">
        <v>16</v>
      </c>
      <c r="T367" s="703">
        <v>350</v>
      </c>
      <c r="U367" s="692">
        <f>LARGE('JSM Eingabe+TW'!$DJ$32:$DU$62,S367)</f>
        <v>9.9999999999999995E-7</v>
      </c>
      <c r="V367" s="622">
        <f t="shared" si="25"/>
        <v>0</v>
      </c>
      <c r="W367" s="622">
        <f t="shared" si="26"/>
        <v>0</v>
      </c>
      <c r="X367" s="635">
        <f t="shared" si="27"/>
        <v>1.830000000000012E-4</v>
      </c>
      <c r="Y367" s="622">
        <f t="shared" si="28"/>
        <v>1.6000000000000104E-5</v>
      </c>
      <c r="AA367" s="622" t="str">
        <f>IF(U367&gt;'JSM Eingabe+TW'!$CU$92,'JSM Eingabe+TW'!$CU$92," ")</f>
        <v xml:space="preserve"> </v>
      </c>
      <c r="AB367" s="622">
        <f t="shared" si="29"/>
        <v>16</v>
      </c>
    </row>
    <row r="368" spans="19:28" x14ac:dyDescent="0.2">
      <c r="S368" s="692">
        <v>15</v>
      </c>
      <c r="T368" s="703">
        <v>351</v>
      </c>
      <c r="U368" s="692">
        <f>LARGE('JSM Eingabe+TW'!$DJ$32:$DU$62,S368)</f>
        <v>9.9999999999999995E-7</v>
      </c>
      <c r="V368" s="622">
        <f t="shared" si="25"/>
        <v>0</v>
      </c>
      <c r="W368" s="622">
        <f t="shared" si="26"/>
        <v>0</v>
      </c>
      <c r="X368" s="635">
        <f t="shared" si="27"/>
        <v>1.830000000000012E-4</v>
      </c>
      <c r="Y368" s="622">
        <f t="shared" si="28"/>
        <v>1.5000000000000097E-5</v>
      </c>
      <c r="AA368" s="622" t="str">
        <f>IF(U368&gt;'JSM Eingabe+TW'!$CU$92,'JSM Eingabe+TW'!$CU$92," ")</f>
        <v xml:space="preserve"> </v>
      </c>
      <c r="AB368" s="622">
        <f t="shared" si="29"/>
        <v>15</v>
      </c>
    </row>
    <row r="369" spans="19:28" x14ac:dyDescent="0.2">
      <c r="S369" s="692">
        <v>14</v>
      </c>
      <c r="T369" s="703">
        <v>352</v>
      </c>
      <c r="U369" s="692">
        <f>LARGE('JSM Eingabe+TW'!$DJ$32:$DU$62,S369)</f>
        <v>9.9999999999999995E-7</v>
      </c>
      <c r="V369" s="622">
        <f t="shared" si="25"/>
        <v>0</v>
      </c>
      <c r="W369" s="622">
        <f t="shared" si="26"/>
        <v>0</v>
      </c>
      <c r="X369" s="635">
        <f t="shared" si="27"/>
        <v>1.830000000000012E-4</v>
      </c>
      <c r="Y369" s="622">
        <f t="shared" si="28"/>
        <v>1.4000000000000091E-5</v>
      </c>
      <c r="AA369" s="622" t="str">
        <f>IF(U369&gt;'JSM Eingabe+TW'!$CU$92,'JSM Eingabe+TW'!$CU$92," ")</f>
        <v xml:space="preserve"> </v>
      </c>
      <c r="AB369" s="622">
        <f t="shared" si="29"/>
        <v>14</v>
      </c>
    </row>
    <row r="370" spans="19:28" x14ac:dyDescent="0.2">
      <c r="S370" s="692">
        <v>13</v>
      </c>
      <c r="T370" s="703">
        <v>353</v>
      </c>
      <c r="U370" s="692">
        <f>LARGE('JSM Eingabe+TW'!$DJ$32:$DU$62,S370)</f>
        <v>9.9999999999999995E-7</v>
      </c>
      <c r="V370" s="622">
        <f t="shared" si="25"/>
        <v>0</v>
      </c>
      <c r="W370" s="622">
        <f t="shared" si="26"/>
        <v>0</v>
      </c>
      <c r="X370" s="635">
        <f t="shared" si="27"/>
        <v>1.830000000000012E-4</v>
      </c>
      <c r="Y370" s="622">
        <f t="shared" si="28"/>
        <v>1.3000000000000086E-5</v>
      </c>
      <c r="Z370" s="622">
        <f>P$34</f>
        <v>0</v>
      </c>
      <c r="AA370" s="622" t="str">
        <f>IF(U370&gt;'JSM Eingabe+TW'!$CU$92,'JSM Eingabe+TW'!$CU$92," ")</f>
        <v xml:space="preserve"> </v>
      </c>
      <c r="AB370" s="622">
        <f t="shared" si="29"/>
        <v>13</v>
      </c>
    </row>
    <row r="371" spans="19:28" x14ac:dyDescent="0.2">
      <c r="S371" s="692">
        <v>12</v>
      </c>
      <c r="T371" s="703">
        <v>354</v>
      </c>
      <c r="U371" s="692">
        <f>LARGE('JSM Eingabe+TW'!$DJ$32:$DU$62,S371)</f>
        <v>9.9999999999999995E-7</v>
      </c>
      <c r="V371" s="622">
        <f t="shared" si="25"/>
        <v>0</v>
      </c>
      <c r="W371" s="622">
        <f t="shared" si="26"/>
        <v>0</v>
      </c>
      <c r="X371" s="635">
        <f t="shared" si="27"/>
        <v>1.830000000000012E-4</v>
      </c>
      <c r="Y371" s="622">
        <f t="shared" si="28"/>
        <v>1.2000000000000078E-5</v>
      </c>
      <c r="AA371" s="622" t="str">
        <f>IF(U371&gt;'JSM Eingabe+TW'!$CU$92,'JSM Eingabe+TW'!$CU$92," ")</f>
        <v xml:space="preserve"> </v>
      </c>
      <c r="AB371" s="622">
        <f t="shared" si="29"/>
        <v>12</v>
      </c>
    </row>
    <row r="372" spans="19:28" x14ac:dyDescent="0.2">
      <c r="S372" s="692">
        <v>11</v>
      </c>
      <c r="T372" s="703">
        <v>355</v>
      </c>
      <c r="U372" s="692">
        <f>LARGE('JSM Eingabe+TW'!$DJ$32:$DU$62,S372)</f>
        <v>9.9999999999999995E-7</v>
      </c>
      <c r="V372" s="622">
        <f t="shared" si="25"/>
        <v>0</v>
      </c>
      <c r="W372" s="622">
        <f t="shared" si="26"/>
        <v>0</v>
      </c>
      <c r="X372" s="635">
        <f t="shared" si="27"/>
        <v>1.830000000000012E-4</v>
      </c>
      <c r="Y372" s="622">
        <f t="shared" si="28"/>
        <v>1.1000000000000071E-5</v>
      </c>
      <c r="AA372" s="622" t="str">
        <f>IF(U372&gt;'JSM Eingabe+TW'!$CU$92,'JSM Eingabe+TW'!$CU$92," ")</f>
        <v xml:space="preserve"> </v>
      </c>
      <c r="AB372" s="622">
        <f t="shared" si="29"/>
        <v>11</v>
      </c>
    </row>
    <row r="373" spans="19:28" x14ac:dyDescent="0.2">
      <c r="S373" s="692">
        <v>10</v>
      </c>
      <c r="T373" s="703">
        <v>356</v>
      </c>
      <c r="U373" s="692">
        <f>LARGE('JSM Eingabe+TW'!$DJ$32:$DU$62,S373)</f>
        <v>9.9999999999999995E-7</v>
      </c>
      <c r="V373" s="622">
        <f t="shared" si="25"/>
        <v>0</v>
      </c>
      <c r="W373" s="622">
        <f t="shared" si="26"/>
        <v>0</v>
      </c>
      <c r="X373" s="635">
        <f t="shared" si="27"/>
        <v>1.830000000000012E-4</v>
      </c>
      <c r="Y373" s="622">
        <f t="shared" si="28"/>
        <v>1.0000000000000065E-5</v>
      </c>
      <c r="AA373" s="622" t="str">
        <f>IF(U373&gt;'JSM Eingabe+TW'!$CU$92,'JSM Eingabe+TW'!$CU$92," ")</f>
        <v xml:space="preserve"> </v>
      </c>
      <c r="AB373" s="622">
        <f t="shared" si="29"/>
        <v>10</v>
      </c>
    </row>
    <row r="374" spans="19:28" x14ac:dyDescent="0.2">
      <c r="S374" s="692">
        <v>9</v>
      </c>
      <c r="T374" s="703">
        <v>357</v>
      </c>
      <c r="U374" s="692">
        <f>LARGE('JSM Eingabe+TW'!$DJ$32:$DU$62,S374)</f>
        <v>9.9999999999999995E-7</v>
      </c>
      <c r="V374" s="622">
        <f t="shared" si="25"/>
        <v>0</v>
      </c>
      <c r="W374" s="622">
        <f t="shared" si="26"/>
        <v>0</v>
      </c>
      <c r="X374" s="635">
        <f t="shared" si="27"/>
        <v>1.830000000000012E-4</v>
      </c>
      <c r="Y374" s="622">
        <f t="shared" si="28"/>
        <v>9.0000000000000595E-6</v>
      </c>
      <c r="AA374" s="622" t="str">
        <f>IF(U374&gt;'JSM Eingabe+TW'!$CU$92,'JSM Eingabe+TW'!$CU$92," ")</f>
        <v xml:space="preserve"> </v>
      </c>
      <c r="AB374" s="622">
        <f t="shared" si="29"/>
        <v>9</v>
      </c>
    </row>
    <row r="375" spans="19:28" x14ac:dyDescent="0.2">
      <c r="S375" s="692">
        <v>8</v>
      </c>
      <c r="T375" s="703">
        <v>358</v>
      </c>
      <c r="U375" s="692">
        <f>LARGE('JSM Eingabe+TW'!$DJ$32:$DU$62,S375)</f>
        <v>9.9999999999999995E-7</v>
      </c>
      <c r="V375" s="622">
        <f t="shared" si="25"/>
        <v>0</v>
      </c>
      <c r="W375" s="622">
        <f t="shared" si="26"/>
        <v>0</v>
      </c>
      <c r="X375" s="635">
        <f t="shared" si="27"/>
        <v>1.830000000000012E-4</v>
      </c>
      <c r="Y375" s="622">
        <f t="shared" si="28"/>
        <v>8.0000000000000522E-6</v>
      </c>
      <c r="Z375" s="622">
        <f>P$34</f>
        <v>0</v>
      </c>
      <c r="AA375" s="622" t="str">
        <f>IF(U375&gt;'JSM Eingabe+TW'!$CU$92,'JSM Eingabe+TW'!$CU$92," ")</f>
        <v xml:space="preserve"> </v>
      </c>
      <c r="AB375" s="622">
        <f t="shared" si="29"/>
        <v>8</v>
      </c>
    </row>
    <row r="376" spans="19:28" x14ac:dyDescent="0.2">
      <c r="S376" s="692">
        <v>7</v>
      </c>
      <c r="T376" s="703">
        <v>359</v>
      </c>
      <c r="U376" s="692">
        <f>LARGE('JSM Eingabe+TW'!$DJ$32:$DU$62,S376)</f>
        <v>9.9999999999999995E-7</v>
      </c>
      <c r="V376" s="622">
        <f t="shared" si="25"/>
        <v>0</v>
      </c>
      <c r="W376" s="622">
        <f t="shared" si="26"/>
        <v>0</v>
      </c>
      <c r="X376" s="635">
        <f t="shared" si="27"/>
        <v>1.830000000000012E-4</v>
      </c>
      <c r="Y376" s="622">
        <f t="shared" si="28"/>
        <v>7.0000000000000456E-6</v>
      </c>
      <c r="AA376" s="622" t="str">
        <f>IF(U376&gt;'JSM Eingabe+TW'!$CU$92,'JSM Eingabe+TW'!$CU$92," ")</f>
        <v xml:space="preserve"> </v>
      </c>
      <c r="AB376" s="622">
        <f t="shared" si="29"/>
        <v>7</v>
      </c>
    </row>
    <row r="377" spans="19:28" x14ac:dyDescent="0.2">
      <c r="S377" s="692">
        <v>6</v>
      </c>
      <c r="T377" s="703">
        <v>360</v>
      </c>
      <c r="U377" s="692">
        <f>LARGE('JSM Eingabe+TW'!$DJ$32:$DU$62,S377)</f>
        <v>9.9999999999999995E-7</v>
      </c>
      <c r="V377" s="622">
        <f t="shared" si="25"/>
        <v>0</v>
      </c>
      <c r="W377" s="622">
        <f t="shared" si="26"/>
        <v>0</v>
      </c>
      <c r="X377" s="635">
        <f t="shared" si="27"/>
        <v>1.830000000000012E-4</v>
      </c>
      <c r="Y377" s="622">
        <f t="shared" si="28"/>
        <v>6.0000000000000391E-6</v>
      </c>
      <c r="AA377" s="622" t="str">
        <f>IF(U377&gt;'JSM Eingabe+TW'!$CU$92,'JSM Eingabe+TW'!$CU$92," ")</f>
        <v xml:space="preserve"> </v>
      </c>
      <c r="AB377" s="622">
        <f t="shared" si="29"/>
        <v>6</v>
      </c>
    </row>
    <row r="378" spans="19:28" x14ac:dyDescent="0.2">
      <c r="S378" s="692">
        <v>5</v>
      </c>
      <c r="T378" s="703">
        <v>361</v>
      </c>
      <c r="U378" s="692">
        <f>LARGE('JSM Eingabe+TW'!$DJ$32:$DU$62,S378)</f>
        <v>9.9999999999999995E-7</v>
      </c>
      <c r="V378" s="622">
        <f t="shared" si="25"/>
        <v>0</v>
      </c>
      <c r="W378" s="622">
        <f t="shared" si="26"/>
        <v>0</v>
      </c>
      <c r="X378" s="635">
        <f t="shared" si="27"/>
        <v>1.830000000000012E-4</v>
      </c>
      <c r="Y378" s="622">
        <f t="shared" si="28"/>
        <v>5.0000000000000326E-6</v>
      </c>
      <c r="AA378" s="622" t="str">
        <f>IF(U378&gt;'JSM Eingabe+TW'!$CU$92,'JSM Eingabe+TW'!$CU$92," ")</f>
        <v xml:space="preserve"> </v>
      </c>
      <c r="AB378" s="622">
        <f t="shared" si="29"/>
        <v>5</v>
      </c>
    </row>
    <row r="379" spans="19:28" x14ac:dyDescent="0.2">
      <c r="S379" s="692">
        <v>4</v>
      </c>
      <c r="T379" s="703">
        <v>362</v>
      </c>
      <c r="U379" s="692">
        <f>LARGE('JSM Eingabe+TW'!$DJ$32:$DU$62,S379)</f>
        <v>9.9999999999999995E-7</v>
      </c>
      <c r="V379" s="622">
        <f t="shared" si="25"/>
        <v>0</v>
      </c>
      <c r="W379" s="622">
        <f t="shared" si="26"/>
        <v>0</v>
      </c>
      <c r="X379" s="635">
        <f t="shared" si="27"/>
        <v>1.830000000000012E-4</v>
      </c>
      <c r="Y379" s="622">
        <f t="shared" si="28"/>
        <v>4.0000000000000261E-6</v>
      </c>
      <c r="AA379" s="622" t="str">
        <f>IF(U379&gt;'JSM Eingabe+TW'!$CU$92,'JSM Eingabe+TW'!$CU$92," ")</f>
        <v xml:space="preserve"> </v>
      </c>
      <c r="AB379" s="622">
        <f t="shared" si="29"/>
        <v>4</v>
      </c>
    </row>
    <row r="380" spans="19:28" x14ac:dyDescent="0.2">
      <c r="S380" s="692">
        <v>3</v>
      </c>
      <c r="T380" s="703">
        <v>363</v>
      </c>
      <c r="U380" s="692">
        <f>LARGE('JSM Eingabe+TW'!$DJ$32:$DU$62,S380)</f>
        <v>9.9999999999999995E-7</v>
      </c>
      <c r="V380" s="622">
        <f t="shared" si="25"/>
        <v>0</v>
      </c>
      <c r="W380" s="622">
        <f t="shared" si="26"/>
        <v>0</v>
      </c>
      <c r="X380" s="635">
        <f t="shared" si="27"/>
        <v>1.830000000000012E-4</v>
      </c>
      <c r="Y380" s="622">
        <f t="shared" si="28"/>
        <v>3.0000000000000196E-6</v>
      </c>
      <c r="Z380" s="622">
        <f>P$34</f>
        <v>0</v>
      </c>
      <c r="AA380" s="622" t="str">
        <f>IF(U380&gt;'JSM Eingabe+TW'!$CU$92,'JSM Eingabe+TW'!$CU$92," ")</f>
        <v xml:space="preserve"> </v>
      </c>
      <c r="AB380" s="622">
        <f t="shared" si="29"/>
        <v>3</v>
      </c>
    </row>
    <row r="381" spans="19:28" x14ac:dyDescent="0.2">
      <c r="S381" s="692">
        <v>2</v>
      </c>
      <c r="T381" s="703">
        <v>364</v>
      </c>
      <c r="U381" s="692">
        <f>LARGE('JSM Eingabe+TW'!$DJ$32:$DU$62,S381)</f>
        <v>9.9999999999999995E-7</v>
      </c>
      <c r="V381" s="622">
        <f t="shared" si="25"/>
        <v>0</v>
      </c>
      <c r="W381" s="622">
        <f t="shared" si="26"/>
        <v>0</v>
      </c>
      <c r="X381" s="635">
        <f t="shared" si="27"/>
        <v>1.830000000000012E-4</v>
      </c>
      <c r="Y381" s="622">
        <f t="shared" si="28"/>
        <v>2.000000000000013E-6</v>
      </c>
      <c r="AA381" s="622" t="str">
        <f>IF(U381&gt;'JSM Eingabe+TW'!$CU$92,'JSM Eingabe+TW'!$CU$92," ")</f>
        <v xml:space="preserve"> </v>
      </c>
      <c r="AB381" s="622">
        <f t="shared" si="29"/>
        <v>2</v>
      </c>
    </row>
    <row r="382" spans="19:28" x14ac:dyDescent="0.2">
      <c r="S382" s="692">
        <v>1</v>
      </c>
      <c r="T382" s="703">
        <v>365</v>
      </c>
      <c r="U382" s="692">
        <f>LARGE('JSM Eingabe+TW'!$DJ$32:$DU$62,S382)</f>
        <v>9.9999999999999995E-7</v>
      </c>
      <c r="V382" s="622">
        <f t="shared" si="25"/>
        <v>0</v>
      </c>
      <c r="W382" s="622">
        <f t="shared" si="26"/>
        <v>0</v>
      </c>
      <c r="X382" s="635">
        <f t="shared" si="27"/>
        <v>1.830000000000012E-4</v>
      </c>
      <c r="Y382" s="622">
        <f t="shared" si="28"/>
        <v>1.0000000000000065E-6</v>
      </c>
      <c r="AA382" s="622" t="str">
        <f>IF(U382&gt;'JSM Eingabe+TW'!$CU$92,'JSM Eingabe+TW'!$CU$92," ")</f>
        <v xml:space="preserve"> </v>
      </c>
      <c r="AB382" s="622">
        <f t="shared" si="29"/>
        <v>1</v>
      </c>
    </row>
    <row r="385" spans="21:21" x14ac:dyDescent="0.2">
      <c r="U385" s="705">
        <f>SUM(U20:U382)</f>
        <v>3.6300000000000232E-4</v>
      </c>
    </row>
  </sheetData>
  <sheetProtection algorithmName="SHA-512" hashValue="z0AIzh9I9Dh1QrhRzJF/u6yGciMN80Kb1D6rDEQEQu54l7+LhwdD+7Ht7KV/j60o2eLrdueuZqnewAMYaQxyJg==" saltValue="AOGcgkB8jPip0Umzk3ob7g==" spinCount="100000" sheet="1" objects="1" scenarios="1"/>
  <mergeCells count="19">
    <mergeCell ref="J35:M36"/>
    <mergeCell ref="N35:N36"/>
    <mergeCell ref="O35:O36"/>
    <mergeCell ref="P35:P36"/>
    <mergeCell ref="Q35:Q36"/>
    <mergeCell ref="I34:M34"/>
    <mergeCell ref="B29:D29"/>
    <mergeCell ref="D12:D14"/>
    <mergeCell ref="E12:F14"/>
    <mergeCell ref="B17:D17"/>
    <mergeCell ref="B18:D18"/>
    <mergeCell ref="B20:D20"/>
    <mergeCell ref="B21:D21"/>
    <mergeCell ref="B30:D30"/>
    <mergeCell ref="B22:D22"/>
    <mergeCell ref="C23:D23"/>
    <mergeCell ref="B25:D25"/>
    <mergeCell ref="B26:D26"/>
    <mergeCell ref="B28:D28"/>
  </mergeCells>
  <pageMargins left="0.70866141732283472" right="0.70866141732283472" top="0.78740157480314965" bottom="0.78740157480314965" header="0.31496062992125984" footer="0.31496062992125984"/>
  <pageSetup paperSize="9" scale="70" orientation="landscape" r:id="rId1"/>
  <ignoredErrors>
    <ignoredError sqref="E29 E26"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B1:R101"/>
  <sheetViews>
    <sheetView showGridLines="0" zoomScale="80" zoomScaleNormal="80" workbookViewId="0"/>
  </sheetViews>
  <sheetFormatPr baseColWidth="10" defaultRowHeight="12.75" x14ac:dyDescent="0.2"/>
  <cols>
    <col min="1" max="1" width="3.5703125" customWidth="1"/>
    <col min="2" max="2" width="4.28515625" customWidth="1"/>
    <col min="3" max="3" width="4.7109375" customWidth="1"/>
    <col min="4" max="4" width="40.7109375" customWidth="1"/>
    <col min="5" max="16" width="10.5703125" customWidth="1"/>
    <col min="17" max="17" width="2" customWidth="1"/>
    <col min="18" max="18" width="9.28515625" customWidth="1"/>
  </cols>
  <sheetData>
    <row r="1" spans="2:17" ht="10.5" customHeight="1" x14ac:dyDescent="0.2">
      <c r="I1" s="2"/>
      <c r="J1" s="2"/>
      <c r="Q1" s="170"/>
    </row>
    <row r="2" spans="2:17" ht="20.25" x14ac:dyDescent="0.3">
      <c r="B2" s="303" t="str">
        <f>'JSM Eingabe+TW'!B2</f>
        <v>Ergebnisse der Selbstüberwachung</v>
      </c>
      <c r="C2" s="278"/>
      <c r="D2" s="278"/>
      <c r="E2" s="278"/>
      <c r="F2" s="278"/>
      <c r="G2" s="278"/>
      <c r="H2" s="278"/>
      <c r="I2" s="278"/>
      <c r="J2" s="278"/>
      <c r="K2" s="278"/>
      <c r="L2" s="278"/>
      <c r="M2" s="278"/>
      <c r="N2" s="278"/>
      <c r="O2" s="280" t="s">
        <v>227</v>
      </c>
      <c r="P2" s="280" t="str">
        <f>IF(LEN('JSM Eingabe+TW'!AB7)&gt;0,'JSM Eingabe+TW'!AB7,"")</f>
        <v/>
      </c>
      <c r="Q2" s="332"/>
    </row>
    <row r="3" spans="2:17" ht="6.75" customHeight="1" x14ac:dyDescent="0.25">
      <c r="B3" s="278"/>
      <c r="C3" s="278"/>
      <c r="D3" s="278"/>
      <c r="E3" s="278"/>
      <c r="F3" s="278"/>
      <c r="G3" s="278"/>
      <c r="H3" s="278"/>
      <c r="I3" s="278"/>
      <c r="J3" s="278"/>
      <c r="K3" s="278"/>
      <c r="L3" s="278"/>
      <c r="M3" s="278"/>
      <c r="N3" s="278"/>
      <c r="O3" s="278"/>
      <c r="P3" s="278"/>
      <c r="Q3" s="281"/>
    </row>
    <row r="4" spans="2:17" ht="4.5" customHeight="1" x14ac:dyDescent="0.25">
      <c r="B4" s="278"/>
      <c r="C4" s="278"/>
      <c r="D4" s="278"/>
      <c r="E4" s="278"/>
      <c r="F4" s="278"/>
      <c r="G4" s="278"/>
      <c r="H4" s="278"/>
      <c r="I4" s="278"/>
      <c r="J4" s="278"/>
      <c r="K4" s="278"/>
      <c r="L4" s="278"/>
      <c r="M4" s="278"/>
      <c r="N4" s="278"/>
      <c r="O4" s="278"/>
      <c r="P4" s="278"/>
      <c r="Q4" s="281"/>
    </row>
    <row r="5" spans="2:17" ht="20.25" x14ac:dyDescent="0.3">
      <c r="B5" s="276" t="str">
        <f>'JSM Eingabe+TW'!B5</f>
        <v>Ermittlung der Jahresschmutzwassermenge (JSM) und des Fremdwassers (QF)</v>
      </c>
      <c r="C5" s="282"/>
      <c r="D5" s="283"/>
      <c r="E5" s="283"/>
      <c r="F5" s="284"/>
      <c r="G5" s="284"/>
      <c r="H5" s="284"/>
      <c r="I5" s="284"/>
      <c r="J5" s="284"/>
      <c r="K5" s="284"/>
      <c r="L5" s="284"/>
      <c r="M5" s="284"/>
      <c r="N5" s="284"/>
      <c r="O5" s="284"/>
      <c r="P5" s="302" t="s">
        <v>163</v>
      </c>
    </row>
    <row r="6" spans="2:17" ht="5.25" customHeight="1" x14ac:dyDescent="0.2">
      <c r="B6" s="289"/>
      <c r="C6" s="290"/>
      <c r="D6" s="291"/>
      <c r="E6" s="291"/>
      <c r="F6" s="279"/>
      <c r="G6" s="279"/>
      <c r="H6" s="279"/>
      <c r="I6" s="279"/>
      <c r="J6" s="279"/>
      <c r="K6" s="279"/>
      <c r="L6" s="279"/>
      <c r="M6" s="279"/>
      <c r="N6" s="279"/>
      <c r="O6" s="279"/>
      <c r="P6" s="279"/>
      <c r="Q6" s="210"/>
    </row>
    <row r="7" spans="2:17" ht="18" x14ac:dyDescent="0.2">
      <c r="D7" s="315" t="s">
        <v>228</v>
      </c>
      <c r="E7" s="317" t="str">
        <f>IF(LEN('JSM Eingabe+TW'!D7)&gt;0,'JSM Eingabe+TW'!D7,"")</f>
        <v>Mainz</v>
      </c>
      <c r="F7" s="317"/>
      <c r="G7" s="304"/>
      <c r="J7" s="335" t="s">
        <v>243</v>
      </c>
      <c r="K7" s="317" t="str">
        <f>IF(LEN('JSM Eingabe+TW'!M7)&gt;0,'JSM Eingabe+TW'!M7,"")</f>
        <v/>
      </c>
      <c r="L7" s="317"/>
      <c r="M7" s="317"/>
      <c r="N7" s="317"/>
      <c r="O7" s="317"/>
      <c r="P7" s="301" t="str">
        <f>'JSM Eingabe+TW'!AB2</f>
        <v>Programmversion 7.3.9</v>
      </c>
    </row>
    <row r="8" spans="2:17" ht="7.5" customHeight="1" thickBot="1" x14ac:dyDescent="0.25">
      <c r="B8" s="292"/>
      <c r="C8" s="279"/>
      <c r="D8" s="295"/>
      <c r="E8" s="295"/>
      <c r="F8" s="295"/>
      <c r="G8" s="295"/>
      <c r="H8" s="295"/>
      <c r="I8" s="295"/>
      <c r="J8" s="295"/>
      <c r="K8" s="2"/>
      <c r="L8" s="2"/>
      <c r="M8" s="2"/>
      <c r="N8" s="2"/>
      <c r="O8" s="2"/>
      <c r="P8" s="2"/>
      <c r="Q8" s="210"/>
    </row>
    <row r="9" spans="2:17" ht="18.75" thickBot="1" x14ac:dyDescent="0.3">
      <c r="B9" s="529" t="s">
        <v>315</v>
      </c>
      <c r="C9" s="507"/>
      <c r="D9" s="507"/>
      <c r="E9" s="507"/>
      <c r="F9" s="508"/>
      <c r="G9" s="507"/>
      <c r="H9" s="507"/>
      <c r="I9" s="507"/>
      <c r="J9" s="507"/>
      <c r="K9" s="507"/>
      <c r="L9" s="507"/>
      <c r="M9" s="507"/>
      <c r="N9" s="507"/>
      <c r="O9" s="507"/>
      <c r="P9" s="509"/>
    </row>
    <row r="10" spans="2:17" ht="3" customHeight="1" x14ac:dyDescent="0.2"/>
    <row r="11" spans="2:17" ht="3" customHeight="1" x14ac:dyDescent="0.35">
      <c r="B11" s="26"/>
      <c r="I11" s="254"/>
      <c r="O11" s="36"/>
      <c r="P11" s="35"/>
    </row>
    <row r="12" spans="2:17" ht="6" customHeight="1" x14ac:dyDescent="0.25">
      <c r="B12" s="176"/>
      <c r="H12" s="1"/>
      <c r="O12" s="2"/>
      <c r="P12" s="2"/>
    </row>
    <row r="13" spans="2:17" ht="13.5" customHeight="1" x14ac:dyDescent="0.25">
      <c r="B13" s="80" t="s">
        <v>271</v>
      </c>
      <c r="C13" s="34"/>
      <c r="F13" s="614" t="s">
        <v>307</v>
      </c>
      <c r="J13" s="21"/>
      <c r="K13" s="1"/>
    </row>
    <row r="14" spans="2:17" ht="6" customHeight="1" x14ac:dyDescent="0.25">
      <c r="F14" s="37" t="s">
        <v>3</v>
      </c>
    </row>
    <row r="15" spans="2:17" x14ac:dyDescent="0.2">
      <c r="D15" s="84" t="s">
        <v>96</v>
      </c>
      <c r="E15" s="805">
        <f>'JSM Eingabe+TW'!K12</f>
        <v>0</v>
      </c>
      <c r="F15" s="914" t="s">
        <v>100</v>
      </c>
      <c r="G15" s="914"/>
      <c r="H15" s="40" t="s">
        <v>56</v>
      </c>
      <c r="I15" s="41"/>
      <c r="J15" s="41"/>
      <c r="N15" s="20"/>
      <c r="O15" s="20"/>
    </row>
    <row r="16" spans="2:17" x14ac:dyDescent="0.2">
      <c r="D16" s="84"/>
      <c r="E16" s="104"/>
      <c r="F16" s="917" t="s">
        <v>101</v>
      </c>
      <c r="G16" s="917"/>
      <c r="H16" s="916">
        <v>0.3</v>
      </c>
      <c r="I16" s="915" t="s">
        <v>53</v>
      </c>
      <c r="J16" s="915"/>
      <c r="K16" s="915"/>
      <c r="L16" s="915"/>
      <c r="M16" s="915"/>
      <c r="N16" s="915"/>
      <c r="O16" s="915"/>
      <c r="P16" s="915"/>
    </row>
    <row r="17" spans="2:18" x14ac:dyDescent="0.2">
      <c r="B17" s="856" t="s">
        <v>207</v>
      </c>
      <c r="C17" s="856"/>
      <c r="D17" s="84"/>
      <c r="E17" s="104"/>
      <c r="F17" s="917"/>
      <c r="G17" s="917"/>
      <c r="H17" s="916"/>
      <c r="I17" s="915"/>
      <c r="J17" s="915"/>
      <c r="K17" s="915"/>
      <c r="L17" s="915"/>
      <c r="M17" s="915"/>
      <c r="N17" s="915"/>
      <c r="O17" s="915"/>
      <c r="P17" s="915"/>
    </row>
    <row r="18" spans="2:18" x14ac:dyDescent="0.2">
      <c r="B18" s="856"/>
      <c r="C18" s="856"/>
      <c r="D18" s="43"/>
      <c r="F18" s="914" t="s">
        <v>102</v>
      </c>
      <c r="G18" s="914"/>
      <c r="H18" s="47">
        <v>0.5</v>
      </c>
      <c r="I18" s="42"/>
      <c r="J18" s="42"/>
      <c r="K18" s="42"/>
      <c r="L18" s="42"/>
      <c r="M18" s="42"/>
      <c r="N18" s="42"/>
      <c r="O18" s="42"/>
      <c r="P18" s="42"/>
    </row>
    <row r="19" spans="2:18" ht="14.25" customHeight="1" x14ac:dyDescent="0.25">
      <c r="B19" s="856"/>
      <c r="C19" s="856"/>
      <c r="D19" s="84" t="s">
        <v>63</v>
      </c>
      <c r="E19" s="806">
        <f>IF($E$15&lt;5000,$H$16,IF($E$15&lt;=100000,$H$18,IF($E$15&gt;100000,$H$19)))</f>
        <v>0.3</v>
      </c>
      <c r="F19" s="914" t="s">
        <v>103</v>
      </c>
      <c r="G19" s="914"/>
      <c r="H19" s="47">
        <v>1</v>
      </c>
      <c r="I19" s="911" t="s">
        <v>54</v>
      </c>
      <c r="J19" s="912"/>
      <c r="K19" s="912"/>
      <c r="L19" s="912"/>
      <c r="M19" s="912"/>
      <c r="N19" s="912"/>
      <c r="O19" s="912"/>
      <c r="P19" s="913"/>
    </row>
    <row r="20" spans="2:18" ht="3.75" customHeight="1" x14ac:dyDescent="0.2">
      <c r="D20" s="27"/>
      <c r="E20" s="45"/>
      <c r="F20" s="45"/>
      <c r="G20" s="45"/>
      <c r="H20" s="19"/>
      <c r="I20" s="19"/>
      <c r="J20" s="19"/>
      <c r="K20" s="46"/>
      <c r="L20" s="46"/>
      <c r="M20" s="46"/>
      <c r="N20" s="46"/>
      <c r="O20" s="46"/>
      <c r="P20" s="46"/>
      <c r="Q20" s="46"/>
      <c r="R20" s="46"/>
    </row>
    <row r="21" spans="2:18" x14ac:dyDescent="0.2">
      <c r="P21" s="382" t="s">
        <v>52</v>
      </c>
    </row>
    <row r="22" spans="2:18" ht="5.25" customHeight="1" x14ac:dyDescent="0.2"/>
    <row r="23" spans="2:18" ht="14.25" customHeight="1" x14ac:dyDescent="0.2">
      <c r="E23" s="908" t="s">
        <v>51</v>
      </c>
      <c r="F23" s="909"/>
      <c r="G23" s="909"/>
      <c r="H23" s="909"/>
      <c r="I23" s="909"/>
      <c r="J23" s="909"/>
      <c r="K23" s="909"/>
      <c r="L23" s="909"/>
      <c r="M23" s="909"/>
      <c r="N23" s="909"/>
      <c r="O23" s="909"/>
      <c r="P23" s="910"/>
    </row>
    <row r="24" spans="2:18" s="27" customFormat="1" ht="13.5" customHeight="1" x14ac:dyDescent="0.2">
      <c r="E24" s="668"/>
      <c r="F24" s="668"/>
      <c r="G24" s="668"/>
      <c r="H24" s="668"/>
      <c r="I24" s="668"/>
      <c r="J24" s="668"/>
      <c r="K24" s="668"/>
      <c r="L24" s="668"/>
      <c r="M24" s="668"/>
      <c r="N24" s="668"/>
      <c r="O24" s="668"/>
      <c r="P24" s="668"/>
      <c r="R24" s="105"/>
    </row>
    <row r="25" spans="2:18" ht="3.75" customHeight="1" x14ac:dyDescent="0.2">
      <c r="E25" s="657"/>
      <c r="F25" s="657"/>
      <c r="G25" s="657"/>
      <c r="H25" s="657"/>
      <c r="I25" s="657"/>
      <c r="J25" s="657"/>
      <c r="K25" s="657"/>
      <c r="L25" s="657"/>
      <c r="M25" s="657"/>
      <c r="N25" s="657"/>
      <c r="O25" s="657"/>
      <c r="P25" s="657"/>
      <c r="Q25" s="44"/>
      <c r="R25" s="44"/>
    </row>
    <row r="26" spans="2:18" ht="12.75" customHeight="1" x14ac:dyDescent="0.2">
      <c r="B26" s="39" t="s">
        <v>43</v>
      </c>
      <c r="C26" s="902" t="s">
        <v>79</v>
      </c>
      <c r="D26" s="902"/>
      <c r="E26" s="651"/>
      <c r="F26" s="651"/>
      <c r="G26" s="651"/>
      <c r="H26" s="651"/>
      <c r="I26" s="651"/>
      <c r="J26" s="651"/>
      <c r="K26" s="651"/>
      <c r="L26" s="651"/>
      <c r="M26" s="651"/>
      <c r="N26" s="651"/>
      <c r="O26" s="651"/>
      <c r="P26" s="651"/>
      <c r="Q26" s="44"/>
      <c r="R26" s="44"/>
    </row>
    <row r="27" spans="2:18" ht="14.25" customHeight="1" x14ac:dyDescent="0.2">
      <c r="B27" s="907" t="s">
        <v>44</v>
      </c>
      <c r="C27" s="903" t="s">
        <v>340</v>
      </c>
      <c r="D27" s="904"/>
      <c r="E27" s="896">
        <f t="shared" ref="E27:P27" si="0">$E$19*$E$15/1000</f>
        <v>0</v>
      </c>
      <c r="F27" s="896">
        <f t="shared" si="0"/>
        <v>0</v>
      </c>
      <c r="G27" s="896">
        <f t="shared" si="0"/>
        <v>0</v>
      </c>
      <c r="H27" s="896">
        <f t="shared" si="0"/>
        <v>0</v>
      </c>
      <c r="I27" s="896">
        <f t="shared" si="0"/>
        <v>0</v>
      </c>
      <c r="J27" s="896">
        <f t="shared" si="0"/>
        <v>0</v>
      </c>
      <c r="K27" s="896">
        <f t="shared" si="0"/>
        <v>0</v>
      </c>
      <c r="L27" s="896">
        <f t="shared" si="0"/>
        <v>0</v>
      </c>
      <c r="M27" s="896">
        <f t="shared" si="0"/>
        <v>0</v>
      </c>
      <c r="N27" s="896">
        <f t="shared" si="0"/>
        <v>0</v>
      </c>
      <c r="O27" s="896">
        <f t="shared" si="0"/>
        <v>0</v>
      </c>
      <c r="P27" s="896">
        <f t="shared" si="0"/>
        <v>0</v>
      </c>
      <c r="Q27" s="888"/>
      <c r="R27" s="44"/>
    </row>
    <row r="28" spans="2:18" ht="14.25" customHeight="1" x14ac:dyDescent="0.2">
      <c r="B28" s="907"/>
      <c r="C28" s="905"/>
      <c r="D28" s="906"/>
      <c r="E28" s="897"/>
      <c r="F28" s="897"/>
      <c r="G28" s="897"/>
      <c r="H28" s="897"/>
      <c r="I28" s="897"/>
      <c r="J28" s="897"/>
      <c r="K28" s="897"/>
      <c r="L28" s="897"/>
      <c r="M28" s="897"/>
      <c r="N28" s="897"/>
      <c r="O28" s="897"/>
      <c r="P28" s="897"/>
      <c r="Q28" s="888"/>
      <c r="R28" s="44"/>
    </row>
    <row r="29" spans="2:18" ht="13.5" customHeight="1" x14ac:dyDescent="0.2">
      <c r="B29" s="39" t="s">
        <v>45</v>
      </c>
      <c r="C29" s="901" t="s">
        <v>342</v>
      </c>
      <c r="D29" s="901"/>
      <c r="E29" s="651"/>
      <c r="F29" s="651"/>
      <c r="G29" s="651"/>
      <c r="H29" s="651"/>
      <c r="I29" s="651"/>
      <c r="J29" s="651"/>
      <c r="K29" s="651"/>
      <c r="L29" s="651"/>
      <c r="M29" s="651"/>
      <c r="N29" s="651"/>
      <c r="O29" s="651"/>
      <c r="P29" s="651"/>
      <c r="Q29" s="44"/>
      <c r="R29" s="44"/>
    </row>
    <row r="30" spans="2:18" ht="15" customHeight="1" x14ac:dyDescent="0.2">
      <c r="B30" s="39" t="s">
        <v>46</v>
      </c>
      <c r="C30" s="900" t="s">
        <v>338</v>
      </c>
      <c r="D30" s="900"/>
      <c r="E30" s="393">
        <f t="shared" ref="E30:P30" si="1">E26-E27-E29</f>
        <v>0</v>
      </c>
      <c r="F30" s="393">
        <f t="shared" si="1"/>
        <v>0</v>
      </c>
      <c r="G30" s="393">
        <f t="shared" si="1"/>
        <v>0</v>
      </c>
      <c r="H30" s="393">
        <f t="shared" si="1"/>
        <v>0</v>
      </c>
      <c r="I30" s="393">
        <f t="shared" si="1"/>
        <v>0</v>
      </c>
      <c r="J30" s="393">
        <f t="shared" si="1"/>
        <v>0</v>
      </c>
      <c r="K30" s="393">
        <f t="shared" si="1"/>
        <v>0</v>
      </c>
      <c r="L30" s="393">
        <f t="shared" si="1"/>
        <v>0</v>
      </c>
      <c r="M30" s="393">
        <f t="shared" si="1"/>
        <v>0</v>
      </c>
      <c r="N30" s="393">
        <f>N26-N27-N29</f>
        <v>0</v>
      </c>
      <c r="O30" s="393">
        <f>O26-O27-O29</f>
        <v>0</v>
      </c>
      <c r="P30" s="393">
        <f t="shared" si="1"/>
        <v>0</v>
      </c>
      <c r="Q30" s="44"/>
      <c r="R30" s="671" t="s">
        <v>10</v>
      </c>
    </row>
    <row r="31" spans="2:18" ht="13.5" customHeight="1" x14ac:dyDescent="0.2">
      <c r="B31" s="39" t="s">
        <v>34</v>
      </c>
      <c r="C31" s="900" t="s">
        <v>78</v>
      </c>
      <c r="D31" s="900"/>
      <c r="E31" s="619">
        <f>IF(E26="",0,IF(E26=0,0,E30*86.4))</f>
        <v>0</v>
      </c>
      <c r="F31" s="619">
        <f t="shared" ref="F31:P31" si="2">IF(F26="",0,IF(F26=0,0,F30*86.4))</f>
        <v>0</v>
      </c>
      <c r="G31" s="619">
        <f t="shared" si="2"/>
        <v>0</v>
      </c>
      <c r="H31" s="619">
        <f t="shared" si="2"/>
        <v>0</v>
      </c>
      <c r="I31" s="619">
        <f t="shared" si="2"/>
        <v>0</v>
      </c>
      <c r="J31" s="619">
        <f t="shared" si="2"/>
        <v>0</v>
      </c>
      <c r="K31" s="619">
        <f t="shared" si="2"/>
        <v>0</v>
      </c>
      <c r="L31" s="619">
        <f t="shared" si="2"/>
        <v>0</v>
      </c>
      <c r="M31" s="619">
        <f t="shared" si="2"/>
        <v>0</v>
      </c>
      <c r="N31" s="619">
        <f>IF(N26="",0,IF(N26=0,0,N30*86.4))</f>
        <v>0</v>
      </c>
      <c r="O31" s="619">
        <f>IF(O26="",0,IF(O26=0,0,O30*86.4))</f>
        <v>0</v>
      </c>
      <c r="P31" s="619">
        <f t="shared" si="2"/>
        <v>0</v>
      </c>
      <c r="Q31" s="44"/>
      <c r="R31" s="672">
        <f>SUMIF(E31:P31,"&gt;0")</f>
        <v>0</v>
      </c>
    </row>
    <row r="32" spans="2:18" ht="24.75" customHeight="1" x14ac:dyDescent="0.2">
      <c r="B32" s="39" t="s">
        <v>47</v>
      </c>
      <c r="C32" s="900" t="s">
        <v>341</v>
      </c>
      <c r="D32" s="900"/>
      <c r="E32" s="651"/>
      <c r="F32" s="651"/>
      <c r="G32" s="651"/>
      <c r="H32" s="651"/>
      <c r="I32" s="651"/>
      <c r="J32" s="651"/>
      <c r="K32" s="651"/>
      <c r="L32" s="651"/>
      <c r="M32" s="651"/>
      <c r="N32" s="651"/>
      <c r="O32" s="651"/>
      <c r="P32" s="651"/>
      <c r="Q32" s="44"/>
      <c r="R32" s="672">
        <f>SUMIF(E32:P32,"&gt;0")</f>
        <v>0</v>
      </c>
    </row>
    <row r="33" spans="2:18" ht="15" customHeight="1" x14ac:dyDescent="0.2">
      <c r="B33" s="39" t="s">
        <v>48</v>
      </c>
      <c r="C33" s="900" t="s">
        <v>339</v>
      </c>
      <c r="D33" s="900"/>
      <c r="E33" s="619">
        <f t="shared" ref="E33:M33" si="3">IF(E32=0,0,E32-E31)</f>
        <v>0</v>
      </c>
      <c r="F33" s="619">
        <f t="shared" si="3"/>
        <v>0</v>
      </c>
      <c r="G33" s="619">
        <f t="shared" si="3"/>
        <v>0</v>
      </c>
      <c r="H33" s="619">
        <f t="shared" si="3"/>
        <v>0</v>
      </c>
      <c r="I33" s="619">
        <f t="shared" si="3"/>
        <v>0</v>
      </c>
      <c r="J33" s="619">
        <f t="shared" si="3"/>
        <v>0</v>
      </c>
      <c r="K33" s="619">
        <f t="shared" si="3"/>
        <v>0</v>
      </c>
      <c r="L33" s="619">
        <f t="shared" si="3"/>
        <v>0</v>
      </c>
      <c r="M33" s="619">
        <f t="shared" si="3"/>
        <v>0</v>
      </c>
      <c r="N33" s="619">
        <f>IF(N32=0,0,N32-N31)</f>
        <v>0</v>
      </c>
      <c r="O33" s="619">
        <f>IF(O32=0,0,O32-O31)</f>
        <v>0</v>
      </c>
      <c r="P33" s="619">
        <f>IF(P32=0,0,P32-P31)</f>
        <v>0</v>
      </c>
      <c r="Q33" s="79"/>
      <c r="R33" s="236" t="s">
        <v>3</v>
      </c>
    </row>
    <row r="34" spans="2:18" ht="3" customHeight="1" x14ac:dyDescent="0.2">
      <c r="B34" s="2"/>
      <c r="C34" s="81"/>
      <c r="D34" s="81"/>
      <c r="E34" s="85"/>
      <c r="F34" s="85"/>
      <c r="G34" s="85"/>
      <c r="H34" s="85"/>
      <c r="I34" s="85"/>
      <c r="J34" s="85"/>
      <c r="K34" s="85"/>
      <c r="L34" s="85"/>
      <c r="M34" s="85"/>
      <c r="N34" s="85"/>
      <c r="O34" s="85"/>
      <c r="P34" s="85"/>
      <c r="Q34" s="79"/>
      <c r="R34" s="237"/>
    </row>
    <row r="35" spans="2:18" ht="15.75" customHeight="1" x14ac:dyDescent="0.2">
      <c r="B35" s="39" t="s">
        <v>49</v>
      </c>
      <c r="C35" s="885" t="s">
        <v>50</v>
      </c>
      <c r="D35" s="886"/>
      <c r="E35" s="86">
        <f t="shared" ref="E35:P35" si="4">IF(E32=0,0,E31/E32)</f>
        <v>0</v>
      </c>
      <c r="F35" s="86">
        <f t="shared" si="4"/>
        <v>0</v>
      </c>
      <c r="G35" s="86">
        <f t="shared" si="4"/>
        <v>0</v>
      </c>
      <c r="H35" s="86">
        <f t="shared" si="4"/>
        <v>0</v>
      </c>
      <c r="I35" s="86">
        <f t="shared" si="4"/>
        <v>0</v>
      </c>
      <c r="J35" s="86">
        <f t="shared" si="4"/>
        <v>0</v>
      </c>
      <c r="K35" s="86">
        <f t="shared" si="4"/>
        <v>0</v>
      </c>
      <c r="L35" s="86">
        <f t="shared" si="4"/>
        <v>0</v>
      </c>
      <c r="M35" s="86">
        <f t="shared" si="4"/>
        <v>0</v>
      </c>
      <c r="N35" s="86">
        <f t="shared" si="4"/>
        <v>0</v>
      </c>
      <c r="O35" s="86">
        <f t="shared" si="4"/>
        <v>0</v>
      </c>
      <c r="P35" s="86">
        <f t="shared" si="4"/>
        <v>0</v>
      </c>
      <c r="R35" s="236">
        <f>COUNTIF(E35:P35,"&gt;0")</f>
        <v>0</v>
      </c>
    </row>
    <row r="36" spans="2:18" ht="6.75" customHeight="1" thickBot="1" x14ac:dyDescent="0.25">
      <c r="B36" s="14"/>
      <c r="C36" s="106"/>
      <c r="D36" s="106"/>
      <c r="E36" s="107"/>
      <c r="F36" s="107"/>
      <c r="G36" s="107"/>
      <c r="H36" s="107"/>
      <c r="I36" s="107"/>
      <c r="J36" s="107"/>
      <c r="K36" s="107"/>
      <c r="L36" s="107"/>
      <c r="M36" s="107"/>
      <c r="N36" s="107"/>
      <c r="O36" s="107"/>
      <c r="P36" s="107"/>
      <c r="R36" s="235"/>
    </row>
    <row r="37" spans="2:18" ht="9.75" customHeight="1" x14ac:dyDescent="0.2">
      <c r="B37" s="14"/>
      <c r="H37" s="107"/>
      <c r="J37" s="884" t="s">
        <v>62</v>
      </c>
      <c r="K37" s="884"/>
      <c r="L37" s="884"/>
      <c r="M37" s="898">
        <f>COUNTIF(E35:P35,"&gt;0")</f>
        <v>0</v>
      </c>
      <c r="N37" s="889" t="s">
        <v>61</v>
      </c>
      <c r="O37" s="890"/>
      <c r="P37" s="892">
        <f>IF(M37=0,0,R31/R32)</f>
        <v>0</v>
      </c>
      <c r="R37" s="235"/>
    </row>
    <row r="38" spans="2:18" ht="9.75" customHeight="1" thickBot="1" x14ac:dyDescent="0.25">
      <c r="B38" s="2"/>
      <c r="J38" s="884"/>
      <c r="K38" s="884"/>
      <c r="L38" s="884"/>
      <c r="M38" s="898"/>
      <c r="N38" s="889"/>
      <c r="O38" s="890"/>
      <c r="P38" s="893"/>
      <c r="R38" s="235"/>
    </row>
    <row r="39" spans="2:18" ht="15" customHeight="1" x14ac:dyDescent="0.25">
      <c r="B39" s="80" t="s">
        <v>272</v>
      </c>
      <c r="P39" s="83"/>
    </row>
    <row r="40" spans="2:18" ht="13.5" customHeight="1" x14ac:dyDescent="0.2">
      <c r="D40" s="178" t="s">
        <v>185</v>
      </c>
      <c r="E40" s="807" t="str">
        <f>IF('JSM Eingabe+TW'!K12=0," ",'JSM Eingabe+TW'!S18/'JSM Eingabe+TW'!K12)</f>
        <v xml:space="preserve"> </v>
      </c>
      <c r="F40" s="179" t="s">
        <v>186</v>
      </c>
      <c r="H40" s="13"/>
      <c r="I40" s="891" t="str">
        <f>IF('JSM Eingabe+TW'!F23=" ","Bei Anlagen ohne automatische Durchflussmengenmessung ist hier die Angabe des arithmetischen Mittels der CSB-Trockenwetterzulaufkonzentration des betreffenden Jahres unbedingt erforderlich",IF(P37=0,"Wegen fehlender Fremdwasserbestimmung ist die Angabe der CSB-Trockenwetterzulaufkonzentration (Jahresmittel) erforderlich","Die CSB-Trockenwetter-Zulaufkonzentration nur dann angeben, wenn hierdurch ein sichereres Ergebnis als nach dem Meßprotokoll erzielt wird. Der höhere Wert wird übernommen."))</f>
        <v>Wegen fehlender Fremdwasserbestimmung ist die Angabe der CSB-Trockenwetterzulaufkonzentration (Jahresmittel) erforderlich</v>
      </c>
      <c r="J40" s="891"/>
      <c r="K40" s="891"/>
      <c r="L40" s="891"/>
      <c r="M40" s="891"/>
      <c r="N40" s="891"/>
      <c r="O40" s="891"/>
      <c r="P40" s="891"/>
    </row>
    <row r="41" spans="2:18" x14ac:dyDescent="0.2">
      <c r="D41" s="38" t="s">
        <v>188</v>
      </c>
      <c r="E41" s="808" t="str">
        <f>IF(E40=" "," ",E40*1000/365)</f>
        <v xml:space="preserve"> </v>
      </c>
      <c r="F41" s="13" t="s">
        <v>176</v>
      </c>
      <c r="H41" s="13"/>
      <c r="I41" s="891"/>
      <c r="J41" s="891"/>
      <c r="K41" s="891"/>
      <c r="L41" s="891"/>
      <c r="M41" s="891"/>
      <c r="N41" s="891"/>
      <c r="O41" s="891"/>
      <c r="P41" s="891"/>
    </row>
    <row r="42" spans="2:18" ht="13.5" customHeight="1" x14ac:dyDescent="0.2">
      <c r="D42" s="38" t="s">
        <v>290</v>
      </c>
      <c r="E42" s="533">
        <v>120</v>
      </c>
      <c r="F42" s="13" t="s">
        <v>174</v>
      </c>
      <c r="I42" s="891"/>
      <c r="J42" s="891"/>
      <c r="K42" s="891"/>
      <c r="L42" s="891"/>
      <c r="M42" s="891"/>
      <c r="N42" s="891"/>
      <c r="O42" s="891"/>
      <c r="P42" s="891"/>
    </row>
    <row r="43" spans="2:18" ht="15.75" customHeight="1" x14ac:dyDescent="0.2">
      <c r="D43" s="38" t="s">
        <v>190</v>
      </c>
      <c r="E43" s="809" t="str">
        <f>IF(E41=0," ",IF(E41=" "," ",E42/E41*1000))</f>
        <v xml:space="preserve"> </v>
      </c>
      <c r="F43" s="13" t="s">
        <v>179</v>
      </c>
      <c r="N43" s="4" t="s">
        <v>283</v>
      </c>
      <c r="O43" s="679" t="str">
        <f>E43</f>
        <v xml:space="preserve"> </v>
      </c>
      <c r="P43" t="s">
        <v>284</v>
      </c>
      <c r="Q43" s="45"/>
      <c r="R43" s="7" t="s">
        <v>3</v>
      </c>
    </row>
    <row r="44" spans="2:18" ht="8.25" customHeight="1" thickBot="1" x14ac:dyDescent="0.25">
      <c r="D44" s="38"/>
      <c r="E44" s="185"/>
      <c r="F44" s="13"/>
      <c r="N44" s="4"/>
      <c r="O44" s="618"/>
      <c r="Q44" s="45"/>
      <c r="R44" s="45"/>
    </row>
    <row r="45" spans="2:18" ht="11.25" customHeight="1" x14ac:dyDescent="0.2">
      <c r="B45" s="3"/>
      <c r="H45" s="297"/>
      <c r="J45" s="894" t="s">
        <v>273</v>
      </c>
      <c r="K45" s="894"/>
      <c r="L45" s="894"/>
      <c r="M45" s="894"/>
      <c r="N45" s="894"/>
      <c r="O45" s="895"/>
      <c r="P45" s="892" t="str">
        <f>IF(E43=" "," ",(100-O43*100/E43)/100)</f>
        <v xml:space="preserve"> </v>
      </c>
      <c r="R45" s="45"/>
    </row>
    <row r="46" spans="2:18" ht="11.25" customHeight="1" thickBot="1" x14ac:dyDescent="0.25">
      <c r="B46" s="364" t="s">
        <v>60</v>
      </c>
      <c r="H46" s="240"/>
      <c r="J46" s="894"/>
      <c r="K46" s="894"/>
      <c r="L46" s="894"/>
      <c r="M46" s="894"/>
      <c r="N46" s="894"/>
      <c r="O46" s="895"/>
      <c r="P46" s="893"/>
      <c r="Q46" s="45"/>
      <c r="R46" s="45"/>
    </row>
    <row r="47" spans="2:18" ht="7.5" customHeight="1" x14ac:dyDescent="0.2">
      <c r="C47" s="319"/>
      <c r="N47" s="82"/>
      <c r="Q47" s="45"/>
      <c r="R47" s="45"/>
    </row>
    <row r="48" spans="2:18" ht="15" customHeight="1" x14ac:dyDescent="0.2">
      <c r="B48" s="887" t="s">
        <v>378</v>
      </c>
      <c r="C48" s="887"/>
      <c r="D48" s="887"/>
      <c r="E48" s="887"/>
      <c r="F48" s="887"/>
      <c r="G48" s="887"/>
      <c r="H48" s="887"/>
      <c r="I48" s="887"/>
      <c r="J48" s="887"/>
      <c r="K48" s="887"/>
      <c r="L48" s="887"/>
      <c r="M48" s="887"/>
      <c r="N48" s="887"/>
      <c r="O48" s="887"/>
      <c r="P48" s="887"/>
    </row>
    <row r="49" spans="2:17" x14ac:dyDescent="0.2">
      <c r="B49" s="887"/>
      <c r="C49" s="887"/>
      <c r="D49" s="887"/>
      <c r="E49" s="887"/>
      <c r="F49" s="887"/>
      <c r="G49" s="887"/>
      <c r="H49" s="887"/>
      <c r="I49" s="887"/>
      <c r="J49" s="887"/>
      <c r="K49" s="887"/>
      <c r="L49" s="887"/>
      <c r="M49" s="887"/>
      <c r="N49" s="887"/>
      <c r="O49" s="887"/>
      <c r="P49" s="887"/>
    </row>
    <row r="50" spans="2:17" x14ac:dyDescent="0.2">
      <c r="B50" s="887"/>
      <c r="C50" s="887"/>
      <c r="D50" s="887"/>
      <c r="E50" s="887"/>
      <c r="F50" s="887"/>
      <c r="G50" s="887"/>
      <c r="H50" s="887"/>
      <c r="I50" s="887"/>
      <c r="J50" s="887"/>
      <c r="K50" s="887"/>
      <c r="L50" s="887"/>
      <c r="M50" s="887"/>
      <c r="N50" s="887"/>
      <c r="O50" s="887"/>
      <c r="P50" s="887"/>
    </row>
    <row r="51" spans="2:17" x14ac:dyDescent="0.2">
      <c r="K51" s="13"/>
      <c r="L51" s="13"/>
      <c r="M51" s="13"/>
      <c r="N51" s="13"/>
      <c r="O51" s="13"/>
      <c r="P51" s="365"/>
    </row>
    <row r="52" spans="2:17" x14ac:dyDescent="0.2">
      <c r="K52" s="13"/>
      <c r="L52" s="186"/>
      <c r="M52" s="186"/>
      <c r="N52" s="186"/>
      <c r="O52" s="186"/>
      <c r="P52" s="186"/>
      <c r="Q52" s="186"/>
    </row>
    <row r="53" spans="2:17" x14ac:dyDescent="0.2">
      <c r="Q53" s="186"/>
    </row>
    <row r="54" spans="2:17" x14ac:dyDescent="0.2">
      <c r="D54" s="13"/>
      <c r="E54" s="13"/>
      <c r="F54" s="13"/>
      <c r="G54" s="13"/>
      <c r="H54" s="13"/>
    </row>
    <row r="55" spans="2:17" x14ac:dyDescent="0.2">
      <c r="D55" s="373"/>
      <c r="E55" s="366"/>
      <c r="F55" s="13"/>
      <c r="G55" s="107"/>
      <c r="H55" s="13"/>
    </row>
    <row r="56" spans="2:17" x14ac:dyDescent="0.2">
      <c r="D56" s="373"/>
      <c r="E56" s="366"/>
      <c r="F56" s="13"/>
      <c r="G56" s="13"/>
      <c r="H56" s="13"/>
    </row>
    <row r="57" spans="2:17" x14ac:dyDescent="0.2">
      <c r="D57" s="373"/>
      <c r="E57" s="366"/>
      <c r="F57" s="13"/>
      <c r="G57" s="13"/>
      <c r="H57" s="13"/>
    </row>
    <row r="58" spans="2:17" x14ac:dyDescent="0.2">
      <c r="D58" s="373"/>
      <c r="E58" s="899"/>
      <c r="F58" s="899"/>
      <c r="G58" s="899"/>
      <c r="H58" s="13"/>
    </row>
    <row r="59" spans="2:17" ht="13.5" customHeight="1" x14ac:dyDescent="0.2">
      <c r="D59" s="373"/>
      <c r="E59" s="366"/>
      <c r="F59" s="13"/>
      <c r="G59" s="13"/>
      <c r="H59" s="13"/>
    </row>
    <row r="60" spans="2:17" ht="13.5" customHeight="1" x14ac:dyDescent="0.2">
      <c r="D60" s="373"/>
      <c r="E60" s="366"/>
      <c r="F60" s="13"/>
      <c r="G60" s="13"/>
      <c r="H60" s="13"/>
    </row>
    <row r="61" spans="2:17" ht="13.5" customHeight="1" x14ac:dyDescent="0.2"/>
    <row r="62" spans="2:17" ht="13.5" customHeight="1" x14ac:dyDescent="0.2"/>
    <row r="63" spans="2:17" ht="13.5" customHeight="1" x14ac:dyDescent="0.2"/>
    <row r="64" spans="2:17" ht="13.5" customHeight="1" x14ac:dyDescent="0.2"/>
    <row r="65" ht="13.5" customHeight="1" x14ac:dyDescent="0.2"/>
    <row r="66" ht="13.5" customHeight="1" x14ac:dyDescent="0.2"/>
    <row r="67" ht="13.5" customHeight="1" x14ac:dyDescent="0.2"/>
    <row r="68" ht="5.25"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idden="1" x14ac:dyDescent="0.2"/>
    <row r="81" hidden="1" x14ac:dyDescent="0.2"/>
    <row r="85" ht="5.25" customHeight="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2:2" hidden="1" x14ac:dyDescent="0.2"/>
    <row r="98" spans="2:2" hidden="1" x14ac:dyDescent="0.2"/>
    <row r="99" spans="2:2" hidden="1" x14ac:dyDescent="0.2"/>
    <row r="100" spans="2:2" hidden="1" x14ac:dyDescent="0.2"/>
    <row r="101" spans="2:2" hidden="1" x14ac:dyDescent="0.2">
      <c r="B101" s="27" t="s">
        <v>208</v>
      </c>
    </row>
  </sheetData>
  <sheetProtection algorithmName="SHA-512" hashValue="ksjGmC/4xVW3F2yZlzJRR/8WtpneOLNW3kDTp3vk03kFvb76vI1666h0uh/Fm5z59PLrmrLhCHGympbG/x3Eiw==" saltValue="M366WK+nPDBCEP7zMHyW6w==" spinCount="100000" sheet="1" objects="1" scenarios="1"/>
  <mergeCells count="40">
    <mergeCell ref="F15:G15"/>
    <mergeCell ref="I16:P17"/>
    <mergeCell ref="H16:H17"/>
    <mergeCell ref="F16:G17"/>
    <mergeCell ref="F18:G18"/>
    <mergeCell ref="C26:D26"/>
    <mergeCell ref="J27:J28"/>
    <mergeCell ref="B17:C19"/>
    <mergeCell ref="C27:D28"/>
    <mergeCell ref="K27:K28"/>
    <mergeCell ref="H27:H28"/>
    <mergeCell ref="B27:B28"/>
    <mergeCell ref="F27:F28"/>
    <mergeCell ref="G27:G28"/>
    <mergeCell ref="E23:P23"/>
    <mergeCell ref="I19:P19"/>
    <mergeCell ref="F19:G19"/>
    <mergeCell ref="E27:E28"/>
    <mergeCell ref="M27:M28"/>
    <mergeCell ref="E58:G58"/>
    <mergeCell ref="C33:D33"/>
    <mergeCell ref="C29:D29"/>
    <mergeCell ref="C30:D30"/>
    <mergeCell ref="C31:D31"/>
    <mergeCell ref="C32:D32"/>
    <mergeCell ref="J37:L38"/>
    <mergeCell ref="C35:D35"/>
    <mergeCell ref="B48:P50"/>
    <mergeCell ref="Q27:Q28"/>
    <mergeCell ref="N37:O38"/>
    <mergeCell ref="I40:P42"/>
    <mergeCell ref="P45:P46"/>
    <mergeCell ref="J45:O46"/>
    <mergeCell ref="O27:O28"/>
    <mergeCell ref="P27:P28"/>
    <mergeCell ref="L27:L28"/>
    <mergeCell ref="P37:P38"/>
    <mergeCell ref="M37:M38"/>
    <mergeCell ref="I27:I28"/>
    <mergeCell ref="N27:N28"/>
  </mergeCells>
  <phoneticPr fontId="0" type="noConversion"/>
  <printOptions horizontalCentered="1" verticalCentered="1"/>
  <pageMargins left="0.78740157480314965" right="0.78740157480314965" top="0.98425196850393704" bottom="0.98425196850393704" header="0.73" footer="0.51181102362204722"/>
  <pageSetup paperSize="9" scale="78" orientation="landscape" r:id="rId1"/>
  <headerFooter alignWithMargins="0">
    <oddHeader xml:space="preserve">&amp;L
</oddHeader>
    <oddFooter>&amp;L&amp;F&amp;C&amp;A&amp;R&amp;D</oddFooter>
  </headerFooter>
  <ignoredErrors>
    <ignoredError sqref="E15 E27:P28 E18"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CK120"/>
  <sheetViews>
    <sheetView showGridLines="0" zoomScale="80" zoomScaleNormal="80" workbookViewId="0"/>
  </sheetViews>
  <sheetFormatPr baseColWidth="10" defaultRowHeight="12.75" x14ac:dyDescent="0.2"/>
  <cols>
    <col min="1" max="1" width="1.42578125" customWidth="1"/>
    <col min="2" max="2" width="2.140625" customWidth="1"/>
    <col min="3" max="3" width="9.5703125" customWidth="1"/>
    <col min="4" max="4" width="32.140625" customWidth="1"/>
    <col min="5" max="5" width="2.28515625" customWidth="1"/>
    <col min="6" max="6" width="14.7109375" customWidth="1"/>
    <col min="7" max="7" width="15.7109375" customWidth="1"/>
    <col min="8" max="8" width="14.7109375" style="2" customWidth="1"/>
    <col min="9" max="9" width="15.28515625" style="2" customWidth="1"/>
    <col min="10" max="10" width="6.7109375" style="2" customWidth="1"/>
    <col min="11" max="11" width="2.42578125" style="2" customWidth="1"/>
    <col min="12" max="12" width="11" customWidth="1"/>
    <col min="13" max="13" width="3.85546875" customWidth="1"/>
    <col min="14" max="14" width="1" customWidth="1"/>
    <col min="15" max="15" width="13.42578125" customWidth="1"/>
    <col min="16" max="16" width="9.28515625" customWidth="1"/>
    <col min="17" max="17" width="9.42578125" customWidth="1"/>
    <col min="18" max="18" width="9" customWidth="1"/>
    <col min="19" max="19" width="10.28515625" customWidth="1"/>
    <col min="20" max="20" width="10.140625" customWidth="1"/>
    <col min="21" max="21" width="2.28515625" customWidth="1"/>
    <col min="22" max="22" width="1.7109375" customWidth="1"/>
    <col min="23" max="23" width="11.42578125" style="10"/>
    <col min="24" max="24" width="14.7109375" style="10" bestFit="1" customWidth="1"/>
    <col min="25" max="89" width="11.42578125" style="10"/>
  </cols>
  <sheetData>
    <row r="1" spans="2:89" ht="7.5" customHeight="1" x14ac:dyDescent="0.2">
      <c r="B1" s="212"/>
      <c r="C1" s="212"/>
      <c r="D1" s="212"/>
      <c r="E1" s="212"/>
      <c r="F1" s="212"/>
      <c r="G1" s="212"/>
      <c r="H1" s="212"/>
      <c r="I1" s="212"/>
      <c r="J1" s="212"/>
      <c r="K1" s="212"/>
      <c r="L1" s="212"/>
      <c r="M1" s="212"/>
      <c r="N1" s="212"/>
      <c r="O1" s="212"/>
      <c r="P1" s="212"/>
      <c r="Q1" s="212"/>
      <c r="R1" s="212"/>
      <c r="S1" s="212"/>
      <c r="T1" s="212"/>
      <c r="U1" s="212"/>
      <c r="V1" s="212"/>
      <c r="W1" s="339"/>
      <c r="X1" s="339"/>
      <c r="Y1" s="339"/>
      <c r="Z1" s="339"/>
      <c r="AA1" s="339"/>
      <c r="AB1" s="339"/>
    </row>
    <row r="2" spans="2:89" ht="20.25" x14ac:dyDescent="0.3">
      <c r="B2" s="303" t="str">
        <f>'JSM Eingabe+TW'!B2</f>
        <v>Ergebnisse der Selbstüberwachung</v>
      </c>
      <c r="D2" s="278"/>
      <c r="E2" s="278"/>
      <c r="F2" s="278"/>
      <c r="G2" s="278"/>
      <c r="H2" s="278"/>
      <c r="I2" s="278"/>
      <c r="J2" s="278"/>
      <c r="K2" s="278"/>
      <c r="L2" s="278"/>
      <c r="M2" s="278"/>
      <c r="N2" s="278"/>
      <c r="O2" s="279"/>
      <c r="P2" s="210"/>
      <c r="R2" s="279"/>
      <c r="S2" s="280" t="s">
        <v>227</v>
      </c>
      <c r="T2" s="920" t="str">
        <f>IF(OR('JSM Eingabe+TW'!AB7="",'JSM Eingabe+TW'!AB7=0),"",'JSM Eingabe+TW'!AB7)</f>
        <v/>
      </c>
      <c r="U2" s="920"/>
      <c r="V2" s="210"/>
    </row>
    <row r="3" spans="2:89" ht="18" x14ac:dyDescent="0.25">
      <c r="B3" s="277"/>
      <c r="C3" s="278"/>
      <c r="D3" s="278"/>
      <c r="E3" s="278"/>
      <c r="F3" s="278"/>
      <c r="G3" s="278"/>
      <c r="H3" s="278"/>
      <c r="I3" s="278"/>
      <c r="J3" s="278"/>
      <c r="K3" s="278"/>
      <c r="L3" s="278"/>
      <c r="M3" s="278"/>
      <c r="N3" s="278"/>
      <c r="O3" s="279"/>
      <c r="P3" s="210"/>
      <c r="Q3" s="210"/>
      <c r="R3" s="279"/>
      <c r="S3" s="280"/>
      <c r="T3" s="281"/>
      <c r="U3" s="294"/>
      <c r="V3" s="210"/>
    </row>
    <row r="4" spans="2:89" ht="15.75" customHeight="1" x14ac:dyDescent="0.25">
      <c r="B4" s="277"/>
      <c r="C4" s="278"/>
      <c r="D4" s="278"/>
      <c r="E4" s="278"/>
      <c r="F4" s="278"/>
      <c r="G4" s="278"/>
      <c r="H4" s="278"/>
      <c r="I4" s="278"/>
      <c r="J4" s="278"/>
      <c r="K4" s="278"/>
      <c r="L4" s="278"/>
      <c r="M4" s="278"/>
      <c r="N4" s="278"/>
      <c r="O4" s="279"/>
      <c r="P4" s="210"/>
      <c r="Q4" s="210"/>
      <c r="R4" s="279"/>
      <c r="S4" s="280"/>
      <c r="T4" s="281"/>
      <c r="U4" s="281"/>
      <c r="V4" s="210"/>
    </row>
    <row r="5" spans="2:89" ht="20.25" x14ac:dyDescent="0.3">
      <c r="B5" s="276" t="str">
        <f>'JSM Eingabe+TW'!B5</f>
        <v>Ermittlung der Jahresschmutzwassermenge (JSM) und des Fremdwassers (QF)</v>
      </c>
      <c r="C5" s="282"/>
      <c r="D5" s="282"/>
      <c r="E5" s="283"/>
      <c r="F5" s="283"/>
      <c r="G5" s="284"/>
      <c r="H5" s="284"/>
      <c r="I5" s="284"/>
      <c r="J5" s="284"/>
      <c r="K5" s="284"/>
      <c r="L5" s="284"/>
      <c r="M5" s="284"/>
      <c r="N5" s="284"/>
      <c r="O5" s="284"/>
      <c r="P5" s="287"/>
      <c r="Q5" s="287"/>
      <c r="R5" s="284"/>
      <c r="S5" s="285"/>
      <c r="T5" s="286"/>
      <c r="U5" s="302" t="s">
        <v>164</v>
      </c>
      <c r="V5" s="223"/>
    </row>
    <row r="6" spans="2:89" ht="15.75" x14ac:dyDescent="0.25">
      <c r="B6" s="288"/>
      <c r="C6" s="289"/>
      <c r="D6" s="290"/>
      <c r="E6" s="291"/>
      <c r="F6" s="291"/>
      <c r="G6" s="279"/>
      <c r="H6" s="279"/>
      <c r="I6" s="279"/>
      <c r="J6" s="279"/>
      <c r="K6" s="279"/>
      <c r="L6" s="279"/>
      <c r="M6" s="279"/>
      <c r="N6" s="279"/>
      <c r="O6" s="212"/>
      <c r="P6" s="212"/>
      <c r="Q6" s="212"/>
      <c r="R6" s="212"/>
      <c r="S6" s="212"/>
      <c r="T6" s="212"/>
      <c r="U6" s="212"/>
      <c r="V6" s="210"/>
      <c r="W6" s="340"/>
      <c r="X6" s="340"/>
      <c r="Y6" s="340"/>
      <c r="Z6" s="340"/>
      <c r="AA6" s="340"/>
      <c r="AB6" s="340"/>
    </row>
    <row r="7" spans="2:89" ht="18" x14ac:dyDescent="0.2">
      <c r="B7" s="296"/>
      <c r="D7" s="337" t="s">
        <v>228</v>
      </c>
      <c r="F7" s="930" t="str">
        <f>'JSM Fremdwasser'!E7</f>
        <v>Mainz</v>
      </c>
      <c r="G7" s="930"/>
      <c r="H7" s="930"/>
      <c r="I7" s="338" t="s">
        <v>243</v>
      </c>
      <c r="J7" s="930" t="str">
        <f>'JSM Fremdwasser'!K7</f>
        <v/>
      </c>
      <c r="K7" s="930"/>
      <c r="L7" s="930"/>
      <c r="M7" s="930"/>
      <c r="N7" s="930"/>
      <c r="O7" s="930"/>
      <c r="P7" s="930"/>
      <c r="Q7" s="930"/>
      <c r="R7" s="304"/>
      <c r="S7" s="304"/>
      <c r="T7" s="304"/>
      <c r="U7" s="301" t="str">
        <f>'JSM Fremdwasser'!P7</f>
        <v>Programmversion 7.3.9</v>
      </c>
      <c r="V7" s="298"/>
      <c r="W7" s="341"/>
      <c r="X7" s="342"/>
      <c r="Y7" s="341"/>
      <c r="Z7" s="343"/>
      <c r="AA7" s="341"/>
      <c r="AB7" s="344"/>
    </row>
    <row r="8" spans="2:89" ht="18.75" thickBot="1" x14ac:dyDescent="0.25">
      <c r="B8" s="293"/>
      <c r="C8" s="292"/>
      <c r="D8" s="279"/>
      <c r="E8" s="295"/>
      <c r="F8" s="295"/>
      <c r="G8" s="295"/>
      <c r="H8" s="295"/>
      <c r="I8" s="295"/>
      <c r="J8" s="295"/>
      <c r="K8" s="295"/>
      <c r="L8" s="279"/>
      <c r="M8" s="279"/>
      <c r="N8" s="295"/>
      <c r="O8" s="295"/>
      <c r="P8" s="295"/>
      <c r="Q8" s="295"/>
      <c r="R8" s="295"/>
      <c r="S8" s="295"/>
      <c r="T8" s="295"/>
      <c r="U8" s="219"/>
      <c r="V8" s="210"/>
      <c r="W8" s="340"/>
      <c r="X8" s="340"/>
      <c r="Y8" s="340"/>
      <c r="Z8" s="340"/>
      <c r="AA8" s="340"/>
      <c r="AB8" s="340"/>
    </row>
    <row r="9" spans="2:89" ht="18.75" thickBot="1" x14ac:dyDescent="0.3">
      <c r="B9" s="515" t="s">
        <v>299</v>
      </c>
      <c r="C9" s="507"/>
      <c r="D9" s="507"/>
      <c r="E9" s="507"/>
      <c r="F9" s="507"/>
      <c r="G9" s="508"/>
      <c r="H9" s="507"/>
      <c r="I9" s="507"/>
      <c r="J9" s="507"/>
      <c r="K9" s="507"/>
      <c r="L9" s="507"/>
      <c r="M9" s="507"/>
      <c r="N9" s="507"/>
      <c r="O9" s="507"/>
      <c r="P9" s="507"/>
      <c r="Q9" s="507"/>
      <c r="R9" s="507"/>
      <c r="S9" s="507"/>
      <c r="T9" s="507"/>
      <c r="U9" s="509"/>
    </row>
    <row r="10" spans="2:89" ht="7.5" customHeight="1" x14ac:dyDescent="0.2"/>
    <row r="11" spans="2:89" s="172" customFormat="1" ht="5.25" customHeight="1" x14ac:dyDescent="0.25">
      <c r="C11" s="181"/>
      <c r="E11" s="175"/>
      <c r="F11" s="175"/>
      <c r="H11" s="181"/>
      <c r="K11" s="247"/>
      <c r="N11" s="48"/>
      <c r="O11" s="248"/>
      <c r="P11" s="255"/>
      <c r="S11" s="249"/>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45"/>
      <c r="BR11" s="345"/>
      <c r="BS11" s="345"/>
      <c r="BT11" s="345"/>
      <c r="BU11" s="345"/>
      <c r="BV11" s="345"/>
      <c r="BW11" s="345"/>
      <c r="BX11" s="345"/>
      <c r="BY11" s="345"/>
      <c r="BZ11" s="345"/>
      <c r="CA11" s="345"/>
      <c r="CB11" s="345"/>
      <c r="CC11" s="345"/>
      <c r="CD11" s="345"/>
      <c r="CE11" s="345"/>
      <c r="CF11" s="345"/>
      <c r="CG11" s="345"/>
      <c r="CH11" s="345"/>
      <c r="CI11" s="345"/>
      <c r="CJ11" s="345"/>
      <c r="CK11" s="345"/>
    </row>
    <row r="12" spans="2:89" s="13" customFormat="1" ht="6" customHeight="1" x14ac:dyDescent="0.2">
      <c r="G12" s="178"/>
      <c r="H12" s="243"/>
      <c r="I12" s="25"/>
      <c r="J12" s="25"/>
      <c r="K12" s="25"/>
      <c r="M12" s="245"/>
      <c r="T12" s="244"/>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row>
    <row r="13" spans="2:89" ht="29.25" customHeight="1" x14ac:dyDescent="0.25">
      <c r="B13" s="540" t="s">
        <v>3</v>
      </c>
      <c r="C13" s="538" t="s">
        <v>247</v>
      </c>
      <c r="D13" s="539"/>
      <c r="E13" s="539"/>
      <c r="F13" s="539"/>
      <c r="G13" s="540"/>
      <c r="H13" s="541" t="s">
        <v>2</v>
      </c>
      <c r="I13" s="937" t="s">
        <v>326</v>
      </c>
      <c r="J13" s="937"/>
      <c r="K13" s="937"/>
      <c r="L13" s="937"/>
      <c r="M13" s="934" t="s">
        <v>155</v>
      </c>
      <c r="N13" s="936" t="s">
        <v>292</v>
      </c>
      <c r="O13" s="936"/>
      <c r="P13" s="542"/>
      <c r="Q13" s="543"/>
      <c r="R13" s="543"/>
      <c r="S13" s="543"/>
      <c r="T13" s="543"/>
      <c r="U13" s="540"/>
      <c r="V13" s="111"/>
    </row>
    <row r="14" spans="2:89" ht="12.75" customHeight="1" x14ac:dyDescent="0.2">
      <c r="B14" s="540"/>
      <c r="C14" s="544" t="str">
        <f>'JSM Eingabe+TW'!E92</f>
        <v>Achtung, statistische Verfahren können wegen zu wenigen Daten nicht gewertet werden!</v>
      </c>
      <c r="D14" s="539"/>
      <c r="E14" s="539"/>
      <c r="F14" s="539"/>
      <c r="G14" s="549"/>
      <c r="H14" s="545" t="s">
        <v>324</v>
      </c>
      <c r="I14" s="545" t="s">
        <v>324</v>
      </c>
      <c r="J14" s="546"/>
      <c r="K14" s="547"/>
      <c r="L14" s="548" t="s">
        <v>156</v>
      </c>
      <c r="M14" s="935"/>
      <c r="N14" s="540"/>
      <c r="O14" s="540"/>
      <c r="P14" s="540"/>
      <c r="Q14" s="540"/>
      <c r="R14" s="540"/>
      <c r="S14" s="540"/>
      <c r="T14" s="540"/>
      <c r="U14" s="549"/>
    </row>
    <row r="15" spans="2:89" ht="20.25" customHeight="1" x14ac:dyDescent="0.2">
      <c r="B15" s="540"/>
      <c r="C15" s="933" t="str">
        <f>'JSM Eingabe+TW'!E90</f>
        <v xml:space="preserve">weniger als die Hälfte an Trockenwettertagen ! </v>
      </c>
      <c r="D15" s="933"/>
      <c r="E15" s="933"/>
      <c r="F15" s="933"/>
      <c r="G15" s="643" t="s">
        <v>98</v>
      </c>
      <c r="H15" s="551">
        <f>IF(C14=" ",IF('JSM Dichtemittel '!N28="x",'JSM Dichtemittel '!Q28,IF('JSM Dichtemittel '!N36="x",'JSM Dichtemittel '!Q36,IF('JSM Dichtemittel '!N41="x",'JSM Dichtemittel '!Q41))),0)</f>
        <v>0</v>
      </c>
      <c r="I15" s="551">
        <f>IF(H15=0,0,H15-H$28)</f>
        <v>0</v>
      </c>
      <c r="J15" s="551"/>
      <c r="K15" s="552"/>
      <c r="L15" s="828">
        <f>IF(H15=0,0,I15/H15)</f>
        <v>0</v>
      </c>
      <c r="M15" s="536">
        <f>IF('JSM Eingabe+TW'!F18="X",0,IF(H15=0,0,IF(C15="weniger als die Hälfte an Trockenwettertagen ! ",0,1)))</f>
        <v>0</v>
      </c>
      <c r="N15" s="554" t="str">
        <f>IF('JSM Eingabe+TW'!AF65&lt;48,"   Verfahren wegen zu wenigen Daten nicht anwendbar",IF(C15="weniger als die Hälfte an Trockenwettertagen ! ","   Weniger als die Hälfte an TW- Tagen. Verfahren nur bedingt anwendbar"," "))</f>
        <v xml:space="preserve">   Verfahren wegen zu wenigen Daten nicht anwendbar</v>
      </c>
      <c r="O15" s="612"/>
      <c r="P15" s="612"/>
      <c r="Q15" s="612"/>
      <c r="R15" s="612"/>
      <c r="S15" s="612"/>
      <c r="T15" s="612"/>
      <c r="U15" s="555"/>
    </row>
    <row r="16" spans="2:89" ht="20.25" customHeight="1" x14ac:dyDescent="0.2">
      <c r="B16" s="540"/>
      <c r="C16" s="933"/>
      <c r="D16" s="933"/>
      <c r="E16" s="933"/>
      <c r="F16" s="550"/>
      <c r="G16" s="643" t="s">
        <v>55</v>
      </c>
      <c r="H16" s="551">
        <f>IF(C14=" ",IF('JSM Jahresdauerlinie'!E29=0,0,'JSM Jahresdauerlinie'!N34),0)</f>
        <v>0</v>
      </c>
      <c r="I16" s="551">
        <f>IF(H16=0,0,H16-H$28)</f>
        <v>0</v>
      </c>
      <c r="J16" s="551"/>
      <c r="K16" s="552"/>
      <c r="L16" s="828">
        <f>IF(H16=0,0,I16/H16)</f>
        <v>0</v>
      </c>
      <c r="M16" s="537">
        <f>IF('JSM Eingabe+TW'!F18="X",0,IF('JSM Eingabe+TW'!AF$65&lt;48,0,IF(H16=0,0,1)))</f>
        <v>0</v>
      </c>
      <c r="N16" s="554" t="str">
        <f>IF('JSM Eingabe+TW'!AF65&lt;48,"   Verfahren wegen zu wenigen Daten nicht anwendbar"," ")</f>
        <v xml:space="preserve">   Verfahren wegen zu wenigen Daten nicht anwendbar</v>
      </c>
      <c r="O16" s="612"/>
      <c r="P16" s="612"/>
      <c r="Q16" s="612"/>
      <c r="R16" s="612"/>
      <c r="S16" s="612"/>
      <c r="T16" s="612"/>
      <c r="U16" s="555"/>
    </row>
    <row r="17" spans="2:89" ht="20.25" customHeight="1" x14ac:dyDescent="0.2">
      <c r="B17" s="540"/>
      <c r="C17" s="550"/>
      <c r="D17" s="550"/>
      <c r="E17" s="550"/>
      <c r="F17" s="550"/>
      <c r="G17" s="643" t="s">
        <v>317</v>
      </c>
      <c r="H17" s="551">
        <f>'JSM FW Dreieck'!N37</f>
        <v>6.6795000000000437E-2</v>
      </c>
      <c r="I17" s="551">
        <f>'JSM FW Dreieck'!N35:N35</f>
        <v>6.6795000000000437E-2</v>
      </c>
      <c r="J17" s="551"/>
      <c r="K17" s="552"/>
      <c r="L17" s="828">
        <f>IF(H17&lt;0.1,0,'JSM FW Dreieck'!N38/100)</f>
        <v>0</v>
      </c>
      <c r="M17" s="537">
        <f>IF('JSM Eingabe+TW'!F18="X",0,IF('JSM Eingabe+TW'!S12=0,0,IF('JSM Eingabe+TW'!AF$65&lt;48,0,IF(H17=0,0,1))))</f>
        <v>0</v>
      </c>
      <c r="N17" s="554" t="str">
        <f>IF('JSM Eingabe+TW'!S12=0,"   Verfahren wegen fehlender Angabe zum Wasserverbrauch nicht anwendbar",IF('JSM Eingabe+TW'!AF65&lt;48,"   Verfahren wegen zu wenigen Daten nicht anwendbar"," "))</f>
        <v xml:space="preserve">   Verfahren wegen fehlender Angabe zum Wasserverbrauch nicht anwendbar</v>
      </c>
      <c r="O17" s="612"/>
      <c r="P17" s="612"/>
      <c r="Q17" s="612"/>
      <c r="R17" s="612"/>
      <c r="S17" s="612"/>
      <c r="T17" s="612"/>
      <c r="U17" s="555"/>
    </row>
    <row r="18" spans="2:89" ht="20.25" customHeight="1" x14ac:dyDescent="0.2">
      <c r="B18" s="540"/>
      <c r="C18" s="540"/>
      <c r="D18" s="540"/>
      <c r="E18" s="540"/>
      <c r="F18" s="556"/>
      <c r="G18" s="643" t="s">
        <v>295</v>
      </c>
      <c r="H18" s="557">
        <f>IF(C14=" ",'JSM GM A198'!J53,0)</f>
        <v>0</v>
      </c>
      <c r="I18" s="551">
        <f>IF(H18&lt;0.1,0,H18-H28)</f>
        <v>0</v>
      </c>
      <c r="J18" s="551"/>
      <c r="K18" s="558"/>
      <c r="L18" s="828">
        <f>IF(H18&lt;0.1,0,I18/H18)</f>
        <v>0</v>
      </c>
      <c r="M18" s="537">
        <f>IF('JSM Eingabe+TW'!F18="X",0,IF('JSM Eingabe+TW'!AF65&lt;48,0,1))</f>
        <v>0</v>
      </c>
      <c r="N18" s="554" t="str">
        <f>IF('JSM Eingabe+TW'!AF65&lt;48,"   Verfahren wegen zu wenigen Daten nicht anwendbar"," ")</f>
        <v xml:space="preserve">   Verfahren wegen zu wenigen Daten nicht anwendbar</v>
      </c>
      <c r="O18" s="612"/>
      <c r="P18" s="612"/>
      <c r="Q18" s="612"/>
      <c r="R18" s="612"/>
      <c r="S18" s="612"/>
      <c r="T18" s="612"/>
      <c r="U18" s="555"/>
    </row>
    <row r="19" spans="2:89" ht="20.25" customHeight="1" x14ac:dyDescent="0.2">
      <c r="B19" s="550"/>
      <c r="C19" s="933" t="str">
        <f>'JSM Eingabe+TW'!AF91</f>
        <v>Das Ergebnis nach Wetterschlüssel hinterfragen. Es fehlen die Daten von mindestens einem Monat.</v>
      </c>
      <c r="D19" s="933"/>
      <c r="E19" s="933"/>
      <c r="F19" s="556"/>
      <c r="G19" s="643" t="s">
        <v>296</v>
      </c>
      <c r="H19" s="557">
        <f>IF(C14=" ",IF('JSM Eingabe+TW'!AB64=0,0,'JSM Eingabe+TW'!AB72),0)</f>
        <v>0</v>
      </c>
      <c r="I19" s="551">
        <f>IF(H19=0,0,H19-H28)</f>
        <v>0</v>
      </c>
      <c r="J19" s="551"/>
      <c r="K19" s="558"/>
      <c r="L19" s="828">
        <f>IF(H19=0,0,I19/H19)</f>
        <v>0</v>
      </c>
      <c r="M19" s="537">
        <f>IF('JSM Eingabe+TW'!F18="X",0,IF('JSM Eingabe+TW'!AF65&lt;48,0,IF(C19=" ",1,"0")))</f>
        <v>0</v>
      </c>
      <c r="N19" s="554" t="str">
        <f>IF('JSM Eingabe+TW'!AF65&lt;48,"   Verfahren wegen zu wenigen Daten nicht anwendbar"," ")</f>
        <v xml:space="preserve">   Verfahren wegen zu wenigen Daten nicht anwendbar</v>
      </c>
      <c r="O19" s="612"/>
      <c r="P19" s="612"/>
      <c r="Q19" s="612"/>
      <c r="R19" s="612"/>
      <c r="S19" s="612"/>
      <c r="T19" s="612"/>
      <c r="U19" s="555"/>
    </row>
    <row r="20" spans="2:89" ht="20.25" customHeight="1" x14ac:dyDescent="0.2">
      <c r="B20" s="540"/>
      <c r="C20" s="559"/>
      <c r="D20" s="560"/>
      <c r="E20" s="560"/>
      <c r="F20" s="561"/>
      <c r="G20" s="643" t="s">
        <v>165</v>
      </c>
      <c r="H20" s="551">
        <f>IF(L20=0,0,100*H28/(100-L20*100))</f>
        <v>0</v>
      </c>
      <c r="I20" s="551">
        <f>IF(L20=0,0,H20-H28)</f>
        <v>0</v>
      </c>
      <c r="J20" s="551"/>
      <c r="K20" s="552"/>
      <c r="L20" s="829">
        <f>MAX('JSM Fremdwasser'!P$37,'JSM Fremdwasser'!P$45)</f>
        <v>0</v>
      </c>
      <c r="M20" s="537">
        <f>IF('JSM Eingabe+TW'!F18="X",0,IF('JSM Eingabe+TW'!S12=0,0,IF(H20=0,0,IF(SUM(M15:M19)&gt;0,0,1))))</f>
        <v>0</v>
      </c>
      <c r="N20" s="554" t="str">
        <f>IF('JSM Eingabe+TW'!S12=0,"   Trinkwasserverbrauch angeben!",IF(SUM(M15:M19)+M21=0,"   maßgebliches Verfahren!"))</f>
        <v xml:space="preserve">   Trinkwasserverbrauch angeben!</v>
      </c>
      <c r="O20" s="612"/>
      <c r="P20" s="613"/>
      <c r="Q20" s="613"/>
      <c r="R20" s="613"/>
      <c r="S20" s="613"/>
      <c r="T20" s="613"/>
      <c r="U20" s="555"/>
    </row>
    <row r="21" spans="2:89" ht="20.25" customHeight="1" x14ac:dyDescent="0.2">
      <c r="B21" s="540"/>
      <c r="C21" s="559"/>
      <c r="D21" s="560"/>
      <c r="E21" s="560"/>
      <c r="F21" s="561"/>
      <c r="G21" s="643" t="s">
        <v>345</v>
      </c>
      <c r="H21" s="551">
        <f>'JSM Eingabe+TW'!AB68</f>
        <v>0</v>
      </c>
      <c r="I21" s="551">
        <f>H21-H28</f>
        <v>0</v>
      </c>
      <c r="J21" s="551"/>
      <c r="K21" s="552"/>
      <c r="L21" s="828">
        <f>IF(H21=0,0,I21/H21)</f>
        <v>0</v>
      </c>
      <c r="M21" s="537">
        <f>IF('JSM Eingabe+TW'!F18="X",1,0)</f>
        <v>0</v>
      </c>
      <c r="N21" s="554" t="b">
        <f>IF(M21=1,"    maßgebliches Verfahren")</f>
        <v>0</v>
      </c>
      <c r="O21" s="612"/>
      <c r="P21" s="613"/>
      <c r="Q21" s="613"/>
      <c r="R21" s="613"/>
      <c r="S21" s="613"/>
      <c r="T21" s="613"/>
      <c r="U21" s="555"/>
    </row>
    <row r="22" spans="2:89" ht="7.5" customHeight="1" x14ac:dyDescent="0.2">
      <c r="B22" s="562"/>
      <c r="C22" s="562"/>
      <c r="D22" s="562"/>
      <c r="E22" s="562"/>
      <c r="F22" s="562"/>
      <c r="G22" s="562"/>
      <c r="H22" s="563"/>
      <c r="I22" s="563"/>
      <c r="J22" s="563"/>
      <c r="K22" s="563"/>
      <c r="L22" s="562"/>
      <c r="M22" s="562"/>
      <c r="N22" s="562"/>
      <c r="O22" s="562"/>
      <c r="P22" s="562"/>
      <c r="Q22" s="562"/>
      <c r="R22" s="562"/>
      <c r="S22" s="562"/>
      <c r="T22" s="562"/>
      <c r="U22" s="562"/>
    </row>
    <row r="23" spans="2:89" ht="2.25" customHeight="1" x14ac:dyDescent="0.2"/>
    <row r="24" spans="2:89" ht="2.25" customHeight="1" x14ac:dyDescent="0.2"/>
    <row r="25" spans="2:89" ht="2.25" customHeight="1" x14ac:dyDescent="0.2"/>
    <row r="26" spans="2:89" ht="15" customHeight="1" x14ac:dyDescent="0.25">
      <c r="B26" s="540"/>
      <c r="C26" s="676" t="s">
        <v>214</v>
      </c>
      <c r="D26" s="540"/>
      <c r="E26" s="540"/>
      <c r="F26" s="540"/>
      <c r="G26" s="540"/>
      <c r="H26" s="547"/>
      <c r="I26" s="547"/>
      <c r="J26" s="547"/>
      <c r="K26" s="547"/>
      <c r="L26" s="540"/>
      <c r="M26" s="540"/>
      <c r="N26" s="540"/>
      <c r="O26" s="540"/>
      <c r="P26" s="540"/>
      <c r="Q26" s="540"/>
      <c r="R26" s="540"/>
      <c r="S26" s="549"/>
      <c r="T26" s="564"/>
      <c r="U26" s="540"/>
    </row>
    <row r="27" spans="2:89" ht="16.5" customHeight="1" x14ac:dyDescent="0.2">
      <c r="B27" s="540"/>
      <c r="C27" s="540"/>
      <c r="D27" s="556"/>
      <c r="E27" s="556"/>
      <c r="F27" s="556"/>
      <c r="G27" s="674" t="s">
        <v>124</v>
      </c>
      <c r="H27" s="603">
        <f>'JSM Eingabe+TW'!S17</f>
        <v>0</v>
      </c>
      <c r="I27" s="673" t="s">
        <v>42</v>
      </c>
      <c r="J27" s="547"/>
      <c r="K27" s="547"/>
      <c r="L27" s="540"/>
      <c r="M27" s="540"/>
      <c r="N27" s="540"/>
      <c r="O27" s="565"/>
      <c r="P27" s="565"/>
      <c r="Q27" s="565"/>
      <c r="R27" s="566"/>
      <c r="S27" s="567"/>
      <c r="T27" s="568"/>
      <c r="U27" s="540"/>
    </row>
    <row r="28" spans="2:89" ht="18.75" customHeight="1" x14ac:dyDescent="0.2">
      <c r="B28" s="540"/>
      <c r="C28" s="540"/>
      <c r="D28" s="540"/>
      <c r="E28" s="540"/>
      <c r="F28" s="556"/>
      <c r="G28" s="674" t="s">
        <v>123</v>
      </c>
      <c r="H28" s="675">
        <f>'JSM Eingabe+TW'!S18</f>
        <v>0</v>
      </c>
      <c r="I28" s="673" t="s">
        <v>42</v>
      </c>
      <c r="J28" s="547"/>
      <c r="K28" s="545"/>
      <c r="L28" s="569"/>
      <c r="M28" s="540"/>
      <c r="N28" s="555"/>
      <c r="O28" s="570"/>
      <c r="P28" s="571"/>
      <c r="Q28" s="572"/>
      <c r="R28" s="564"/>
      <c r="S28" s="567"/>
      <c r="T28" s="568"/>
      <c r="U28" s="540"/>
    </row>
    <row r="29" spans="2:89" s="13" customFormat="1" ht="3.75" customHeight="1" x14ac:dyDescent="0.2">
      <c r="F29" s="129"/>
      <c r="H29" s="131"/>
      <c r="I29" s="131"/>
      <c r="J29" s="131"/>
      <c r="K29" s="132"/>
      <c r="L29" s="133"/>
      <c r="M29" s="130"/>
      <c r="N29" s="91"/>
      <c r="O29" s="91"/>
      <c r="P29" s="91"/>
      <c r="Q29" s="91"/>
      <c r="R29" s="91"/>
      <c r="S29" s="91"/>
      <c r="T29" s="91"/>
      <c r="U29" s="91"/>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row>
    <row r="30" spans="2:89" s="13" customFormat="1" ht="3.75" customHeight="1" x14ac:dyDescent="0.2">
      <c r="F30" s="129"/>
      <c r="H30" s="131"/>
      <c r="I30" s="131"/>
      <c r="J30" s="131"/>
      <c r="K30" s="132"/>
      <c r="L30" s="133"/>
      <c r="M30" s="130"/>
      <c r="N30" s="91"/>
      <c r="O30" s="91"/>
      <c r="P30" s="91"/>
      <c r="Q30" s="91"/>
      <c r="R30" s="91"/>
      <c r="S30" s="91"/>
      <c r="T30" s="91"/>
      <c r="U30" s="91"/>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row>
    <row r="31" spans="2:89" ht="6.75" customHeight="1" x14ac:dyDescent="0.2">
      <c r="B31" s="540"/>
      <c r="C31" s="573"/>
      <c r="D31" s="573"/>
      <c r="E31" s="573"/>
      <c r="F31" s="574"/>
      <c r="G31" s="575"/>
      <c r="H31" s="557"/>
      <c r="I31" s="557"/>
      <c r="J31" s="557"/>
      <c r="K31" s="558"/>
      <c r="L31" s="553"/>
      <c r="M31" s="553"/>
      <c r="N31" s="555"/>
      <c r="O31" s="555"/>
      <c r="P31" s="555"/>
      <c r="Q31" s="555"/>
      <c r="R31" s="555"/>
      <c r="S31" s="555"/>
      <c r="T31" s="555"/>
      <c r="U31" s="555"/>
    </row>
    <row r="32" spans="2:89" ht="18.75" customHeight="1" x14ac:dyDescent="0.2">
      <c r="B32" s="540"/>
      <c r="C32" s="573"/>
      <c r="D32" s="573"/>
      <c r="E32" s="576"/>
      <c r="F32" s="574"/>
      <c r="G32" s="760" t="s">
        <v>117</v>
      </c>
      <c r="H32" s="759">
        <f>IF(M21=1,H21,IF(M73=0,0,(H15*M15+H16*M16+H19*M19+H18*M18+H20*M20+H71*M71+H72*M72+H17*M17)/M73))</f>
        <v>0</v>
      </c>
      <c r="I32" s="557">
        <f>IF(H32=" "," ",H32-H28)</f>
        <v>0</v>
      </c>
      <c r="J32" s="557"/>
      <c r="K32" s="558"/>
      <c r="L32" s="828">
        <f>IF(H32=0,0,I32/H32)</f>
        <v>0</v>
      </c>
      <c r="M32" s="938" t="str">
        <f>IF(H28&gt;H32,"Es wird jedoch der um die Verluste reduzierte Wasserverbrauch maßgeblich!"," ")</f>
        <v xml:space="preserve"> </v>
      </c>
      <c r="N32" s="938"/>
      <c r="O32" s="938"/>
      <c r="P32" s="938"/>
      <c r="Q32" s="938"/>
      <c r="R32" s="938"/>
      <c r="S32" s="938"/>
      <c r="T32" s="938"/>
      <c r="U32" s="938"/>
      <c r="W32" s="644">
        <f>H32</f>
        <v>0</v>
      </c>
    </row>
    <row r="33" spans="1:89" ht="5.25" customHeight="1" thickBot="1" x14ac:dyDescent="0.25">
      <c r="B33" s="540"/>
      <c r="C33" s="573"/>
      <c r="D33" s="577"/>
      <c r="E33" s="573"/>
      <c r="F33" s="573"/>
      <c r="G33" s="578"/>
      <c r="H33" s="557"/>
      <c r="I33" s="588"/>
      <c r="J33" s="588"/>
      <c r="K33" s="588"/>
      <c r="L33" s="589"/>
      <c r="M33" s="589"/>
      <c r="N33" s="540"/>
      <c r="O33" s="540"/>
      <c r="P33" s="540"/>
      <c r="Q33" s="540"/>
      <c r="R33" s="540"/>
      <c r="S33" s="540"/>
      <c r="T33" s="540"/>
      <c r="U33" s="540"/>
      <c r="W33" s="645"/>
    </row>
    <row r="34" spans="1:89" s="16" customFormat="1" ht="11.25" customHeight="1" x14ac:dyDescent="0.2">
      <c r="B34" s="573"/>
      <c r="C34" s="649" t="s">
        <v>300</v>
      </c>
      <c r="D34" s="579"/>
      <c r="E34" s="579"/>
      <c r="F34" s="579"/>
      <c r="G34" s="580"/>
      <c r="H34" s="600"/>
      <c r="I34" s="590"/>
      <c r="J34" s="590"/>
      <c r="K34" s="590"/>
      <c r="L34" s="591"/>
      <c r="M34" s="591"/>
      <c r="N34" s="579"/>
      <c r="O34" s="579"/>
      <c r="P34" s="579"/>
      <c r="Q34" s="579"/>
      <c r="R34" s="579"/>
      <c r="S34" s="579"/>
      <c r="T34" s="592"/>
      <c r="U34" s="573"/>
      <c r="W34" s="646">
        <f>ROUND(W32/10,0)</f>
        <v>0</v>
      </c>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row>
    <row r="35" spans="1:89" s="114" customFormat="1" ht="14.25" customHeight="1" x14ac:dyDescent="0.25">
      <c r="B35" s="577"/>
      <c r="C35" s="650">
        <f>W46</f>
        <v>1</v>
      </c>
      <c r="D35" s="581"/>
      <c r="E35" s="581"/>
      <c r="F35" s="582" t="s">
        <v>90</v>
      </c>
      <c r="G35" s="583" t="str">
        <f>T2</f>
        <v/>
      </c>
      <c r="H35" s="601">
        <f>IF(H32=" "," ",IF(H28&gt;H32,H28,ROUNDUP(H32/C35,1)*C35))</f>
        <v>0</v>
      </c>
      <c r="I35" s="931" t="s">
        <v>325</v>
      </c>
      <c r="J35" s="931"/>
      <c r="K35" s="931"/>
      <c r="L35" s="817">
        <f>IF(H35=0,0,(H35-H28)/H35)</f>
        <v>0</v>
      </c>
      <c r="M35" s="593"/>
      <c r="N35" s="581" t="s">
        <v>116</v>
      </c>
      <c r="O35" s="581"/>
      <c r="P35" s="581"/>
      <c r="Q35" s="581"/>
      <c r="R35" s="577"/>
      <c r="S35" s="577"/>
      <c r="T35" s="594"/>
      <c r="U35" s="577"/>
      <c r="W35" s="646">
        <f>ROUND(W34/10,0)</f>
        <v>0</v>
      </c>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row>
    <row r="36" spans="1:89" s="16" customFormat="1" ht="10.5" customHeight="1" thickBot="1" x14ac:dyDescent="0.25">
      <c r="B36" s="573"/>
      <c r="C36" s="584"/>
      <c r="D36" s="585"/>
      <c r="E36" s="585"/>
      <c r="F36" s="585"/>
      <c r="G36" s="586"/>
      <c r="H36" s="602"/>
      <c r="I36" s="595"/>
      <c r="J36" s="595"/>
      <c r="K36" s="595"/>
      <c r="L36" s="596"/>
      <c r="M36" s="596"/>
      <c r="N36" s="585"/>
      <c r="O36" s="585"/>
      <c r="P36" s="585"/>
      <c r="Q36" s="585"/>
      <c r="R36" s="585"/>
      <c r="S36" s="585"/>
      <c r="T36" s="597"/>
      <c r="U36" s="573"/>
      <c r="W36" s="646">
        <f t="shared" ref="W36:W42" si="0">ROUND(W35/10,0)</f>
        <v>0</v>
      </c>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row>
    <row r="37" spans="1:89" ht="5.25" customHeight="1" x14ac:dyDescent="0.2">
      <c r="B37" s="540"/>
      <c r="C37" s="540"/>
      <c r="D37" s="540"/>
      <c r="E37" s="540"/>
      <c r="F37" s="540"/>
      <c r="G37" s="549"/>
      <c r="H37" s="603"/>
      <c r="I37" s="598"/>
      <c r="J37" s="598"/>
      <c r="K37" s="598"/>
      <c r="L37" s="599"/>
      <c r="M37" s="599"/>
      <c r="N37" s="540"/>
      <c r="O37" s="540"/>
      <c r="P37" s="540"/>
      <c r="Q37" s="540"/>
      <c r="R37" s="540"/>
      <c r="S37" s="540"/>
      <c r="T37" s="540"/>
      <c r="U37" s="540"/>
      <c r="W37" s="646">
        <f t="shared" si="0"/>
        <v>0</v>
      </c>
    </row>
    <row r="38" spans="1:89" ht="10.5" customHeight="1" x14ac:dyDescent="0.2">
      <c r="B38" s="587"/>
      <c r="C38" s="555" t="s">
        <v>209</v>
      </c>
      <c r="D38" s="587"/>
      <c r="E38" s="587"/>
      <c r="F38" s="540"/>
      <c r="G38" s="540"/>
      <c r="H38" s="547"/>
      <c r="I38" s="547"/>
      <c r="J38" s="547"/>
      <c r="K38" s="547"/>
      <c r="L38" s="540"/>
      <c r="M38" s="540"/>
      <c r="N38" s="540"/>
      <c r="O38" s="540"/>
      <c r="P38" s="540"/>
      <c r="Q38" s="540"/>
      <c r="R38" s="540"/>
      <c r="S38" s="540"/>
      <c r="T38" s="540"/>
      <c r="U38" s="540"/>
      <c r="W38" s="646">
        <f t="shared" si="0"/>
        <v>0</v>
      </c>
    </row>
    <row r="39" spans="1:89" ht="13.5" customHeight="1" x14ac:dyDescent="0.2">
      <c r="B39" s="604"/>
      <c r="C39" s="932"/>
      <c r="D39" s="932"/>
      <c r="E39" s="932"/>
      <c r="F39" s="932"/>
      <c r="G39" s="932"/>
      <c r="H39" s="932"/>
      <c r="I39" s="932"/>
      <c r="J39" s="932"/>
      <c r="K39" s="932"/>
      <c r="L39" s="932"/>
      <c r="M39" s="932"/>
      <c r="N39" s="932"/>
      <c r="O39" s="932"/>
      <c r="P39" s="932"/>
      <c r="Q39" s="932"/>
      <c r="R39" s="932"/>
      <c r="S39" s="932"/>
      <c r="T39" s="932"/>
      <c r="U39" s="604"/>
      <c r="W39" s="646">
        <f t="shared" si="0"/>
        <v>0</v>
      </c>
    </row>
    <row r="40" spans="1:89" ht="12.75" customHeight="1" x14ac:dyDescent="0.2">
      <c r="B40" s="604"/>
      <c r="C40" s="932"/>
      <c r="D40" s="932"/>
      <c r="E40" s="932"/>
      <c r="F40" s="932"/>
      <c r="G40" s="932"/>
      <c r="H40" s="932"/>
      <c r="I40" s="932"/>
      <c r="J40" s="932"/>
      <c r="K40" s="932"/>
      <c r="L40" s="932"/>
      <c r="M40" s="932"/>
      <c r="N40" s="932"/>
      <c r="O40" s="932"/>
      <c r="P40" s="932"/>
      <c r="Q40" s="932"/>
      <c r="R40" s="932"/>
      <c r="S40" s="932"/>
      <c r="T40" s="932"/>
      <c r="U40" s="604"/>
      <c r="W40" s="646">
        <f t="shared" si="0"/>
        <v>0</v>
      </c>
    </row>
    <row r="41" spans="1:89" s="13" customFormat="1" ht="13.5" customHeight="1" x14ac:dyDescent="0.2">
      <c r="B41" s="604"/>
      <c r="C41" s="605" t="s">
        <v>3</v>
      </c>
      <c r="D41" s="540"/>
      <c r="E41" s="540"/>
      <c r="F41" s="540"/>
      <c r="G41" s="540"/>
      <c r="H41" s="547"/>
      <c r="I41" s="547"/>
      <c r="J41" s="547"/>
      <c r="K41" s="547"/>
      <c r="L41" s="540"/>
      <c r="M41" s="540"/>
      <c r="N41" s="540"/>
      <c r="O41" s="540"/>
      <c r="P41" s="540"/>
      <c r="Q41" s="540"/>
      <c r="R41" s="540"/>
      <c r="S41" s="540"/>
      <c r="T41" s="540"/>
      <c r="U41" s="540"/>
      <c r="W41" s="646">
        <f t="shared" si="0"/>
        <v>0</v>
      </c>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row>
    <row r="42" spans="1:89" s="13" customFormat="1" ht="21" customHeight="1" x14ac:dyDescent="0.25">
      <c r="A42" s="128"/>
      <c r="C42" s="181" t="s">
        <v>331</v>
      </c>
      <c r="E42" s="175"/>
      <c r="G42" s="38"/>
      <c r="H42" s="182"/>
      <c r="I42" s="183"/>
      <c r="J42" s="183"/>
      <c r="K42" s="183"/>
      <c r="L42" s="184"/>
      <c r="M42" s="184"/>
      <c r="W42" s="646">
        <f t="shared" si="0"/>
        <v>0</v>
      </c>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row>
    <row r="43" spans="1:89" s="91" customFormat="1" ht="13.5" customHeight="1" x14ac:dyDescent="0.2">
      <c r="B43" s="606"/>
      <c r="C43" s="607"/>
      <c r="D43" s="608" t="s">
        <v>355</v>
      </c>
      <c r="E43" s="606"/>
      <c r="F43" s="812"/>
      <c r="G43" s="813"/>
      <c r="H43" s="813"/>
      <c r="I43" s="813"/>
      <c r="J43" s="929" t="str">
        <f>IF(OR(J46="",J46=0),"",IF(OR('JSM Eingabe+TW'!K12="",'JSM Eingabe+TW'!K12=0),"EZ angeben!",'JSM Eingabe+TW'!$K$12))</f>
        <v/>
      </c>
      <c r="K43" s="929"/>
      <c r="L43" s="929"/>
      <c r="M43" s="611"/>
      <c r="N43" s="608"/>
      <c r="O43" s="608"/>
      <c r="P43" s="608"/>
      <c r="Q43" s="608"/>
      <c r="R43" s="608"/>
      <c r="S43" s="608"/>
      <c r="T43" s="611"/>
      <c r="U43" s="608"/>
      <c r="W43" s="647"/>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c r="BT43" s="349"/>
      <c r="BU43" s="349"/>
      <c r="BV43" s="349"/>
      <c r="BW43" s="349"/>
      <c r="BX43" s="349"/>
      <c r="BY43" s="349"/>
      <c r="BZ43" s="349"/>
      <c r="CA43" s="349"/>
      <c r="CB43" s="349"/>
      <c r="CC43" s="349"/>
      <c r="CD43" s="349"/>
      <c r="CE43" s="349"/>
      <c r="CF43" s="349"/>
      <c r="CG43" s="349"/>
      <c r="CH43" s="349"/>
      <c r="CI43" s="349"/>
      <c r="CJ43" s="349"/>
      <c r="CK43" s="349"/>
    </row>
    <row r="44" spans="1:89" s="91" customFormat="1" ht="13.5" customHeight="1" x14ac:dyDescent="0.2">
      <c r="B44" s="606"/>
      <c r="C44" s="607"/>
      <c r="D44" s="608" t="s">
        <v>281</v>
      </c>
      <c r="E44" s="606"/>
      <c r="F44" s="812"/>
      <c r="G44" s="813"/>
      <c r="H44" s="813"/>
      <c r="I44" s="813"/>
      <c r="J44" s="929" t="str">
        <f>IF(OR(J47="",J47=0),"",IF(OR('JSM Eingabe+TW'!S18="",'JSM Eingabe+TW'!S18=0),"Trinkw. angeben!",'JSM Eingabe+TW'!S18))</f>
        <v/>
      </c>
      <c r="K44" s="929"/>
      <c r="L44" s="929"/>
      <c r="M44" s="611"/>
      <c r="N44" s="608"/>
      <c r="O44" s="608"/>
      <c r="P44" s="608"/>
      <c r="Q44" s="608"/>
      <c r="R44" s="608"/>
      <c r="S44" s="608"/>
      <c r="T44" s="611"/>
      <c r="U44" s="608"/>
      <c r="W44" s="647"/>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row>
    <row r="45" spans="1:89" s="13" customFormat="1" ht="13.5" customHeight="1" x14ac:dyDescent="0.2">
      <c r="B45" s="607"/>
      <c r="C45" s="607"/>
      <c r="D45" s="608" t="s">
        <v>0</v>
      </c>
      <c r="E45" s="608"/>
      <c r="F45" s="816" t="str">
        <f>IF(OR($J45="",$J45=0),"",G45-1)</f>
        <v/>
      </c>
      <c r="G45" s="816" t="str">
        <f>IF(OR($J45="",$J45=0),"",H45-1)</f>
        <v/>
      </c>
      <c r="H45" s="816" t="str">
        <f>IF(OR($J45="",$J45=0),"",I45-1)</f>
        <v/>
      </c>
      <c r="I45" s="816" t="str">
        <f>IF(OR($J45="",$J45=0),"",J45-1)</f>
        <v/>
      </c>
      <c r="J45" s="922" t="str">
        <f>IF(OR(T2="",T2=0),"",T2)</f>
        <v/>
      </c>
      <c r="K45" s="922"/>
      <c r="L45" s="922"/>
      <c r="M45" s="611"/>
      <c r="N45" s="608"/>
      <c r="O45" s="608"/>
      <c r="P45" s="608"/>
      <c r="Q45" s="608"/>
      <c r="R45" s="608" t="s">
        <v>201</v>
      </c>
      <c r="S45" s="923"/>
      <c r="T45" s="924"/>
      <c r="U45" s="608"/>
      <c r="W45" s="648">
        <f>COUNTIF(W34:W42,"&gt;1")</f>
        <v>0</v>
      </c>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row>
    <row r="46" spans="1:89" s="13" customFormat="1" ht="13.5" customHeight="1" x14ac:dyDescent="0.2">
      <c r="B46" s="607"/>
      <c r="C46" s="607"/>
      <c r="D46" s="609" t="s">
        <v>327</v>
      </c>
      <c r="E46" s="608"/>
      <c r="F46" s="681"/>
      <c r="G46" s="681"/>
      <c r="H46" s="682"/>
      <c r="I46" s="682"/>
      <c r="J46" s="925">
        <f>H35</f>
        <v>0</v>
      </c>
      <c r="K46" s="926"/>
      <c r="L46" s="927"/>
      <c r="M46" s="611"/>
      <c r="N46" s="608"/>
      <c r="O46" s="608"/>
      <c r="P46" s="608"/>
      <c r="Q46" s="608"/>
      <c r="R46" s="608" t="s">
        <v>343</v>
      </c>
      <c r="S46" s="928"/>
      <c r="T46" s="928"/>
      <c r="U46" s="608"/>
      <c r="W46" s="648">
        <f>1*10^W45</f>
        <v>1</v>
      </c>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row>
    <row r="47" spans="1:89" s="13" customFormat="1" ht="13.5" customHeight="1" x14ac:dyDescent="0.2">
      <c r="B47" s="606"/>
      <c r="C47" s="610"/>
      <c r="D47" s="810" t="s">
        <v>328</v>
      </c>
      <c r="E47" s="606"/>
      <c r="F47" s="814">
        <f>IFERROR(IF(OR(F46="",F46=0),0,F46/F43),"")</f>
        <v>0</v>
      </c>
      <c r="G47" s="814">
        <f>IFERROR(IF(OR(G46="",G46=0),0,G46/G43),"")</f>
        <v>0</v>
      </c>
      <c r="H47" s="814">
        <f>IFERROR(IF(OR(H46="",H46=0),0,H46/H43),"")</f>
        <v>0</v>
      </c>
      <c r="I47" s="814">
        <f>IFERROR(IF(OR(I46="",I46=0),0,I46/I43),"")</f>
        <v>0</v>
      </c>
      <c r="J47" s="921">
        <f>IFERROR(IF(OR(J46="",J46=0),0,IF('JSM Eingabe+TW'!K12=0,"EZ angeben!",J46/J43)),"")</f>
        <v>0</v>
      </c>
      <c r="K47" s="921"/>
      <c r="L47" s="921"/>
      <c r="M47" s="608"/>
      <c r="N47" s="608"/>
      <c r="O47" s="608"/>
      <c r="P47" s="608"/>
      <c r="Q47" s="608"/>
      <c r="R47" s="608"/>
      <c r="S47" s="608"/>
      <c r="T47" s="608"/>
      <c r="U47" s="608"/>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row>
    <row r="48" spans="1:89" s="13" customFormat="1" ht="13.5" customHeight="1" x14ac:dyDescent="0.2">
      <c r="B48" s="606"/>
      <c r="C48" s="610" t="s">
        <v>202</v>
      </c>
      <c r="D48" s="811" t="s">
        <v>356</v>
      </c>
      <c r="E48" s="606"/>
      <c r="F48" s="815">
        <f>IFERROR(IF(OR(F44="",F44=0),0,F44/F43),"")</f>
        <v>0</v>
      </c>
      <c r="G48" s="815">
        <f>IFERROR(IF(OR(G44="",G44=0),0,G44/G43),"")</f>
        <v>0</v>
      </c>
      <c r="H48" s="815">
        <f>IFERROR(IF(OR(H44="",H44=0),0,H44/H43),"")</f>
        <v>0</v>
      </c>
      <c r="I48" s="815">
        <f>IFERROR(IF(OR(I44="",I44=0),0,I44/I43),"")</f>
        <v>0</v>
      </c>
      <c r="J48" s="929">
        <f>IFERROR(IF(OR(J44="",J44=0),0,J44/J43),"")</f>
        <v>0</v>
      </c>
      <c r="K48" s="929"/>
      <c r="L48" s="929"/>
      <c r="M48" s="608"/>
      <c r="N48" s="608"/>
      <c r="O48" s="608"/>
      <c r="P48" s="608"/>
      <c r="Q48" s="608"/>
      <c r="R48" s="608"/>
      <c r="S48" s="608"/>
      <c r="T48" s="608"/>
      <c r="U48" s="608"/>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row>
    <row r="49" spans="2:89" s="13" customFormat="1" ht="13.5" customHeight="1" x14ac:dyDescent="0.2">
      <c r="B49" s="606"/>
      <c r="C49" s="932"/>
      <c r="D49" s="932"/>
      <c r="E49" s="932"/>
      <c r="F49" s="932"/>
      <c r="G49" s="932"/>
      <c r="H49" s="932"/>
      <c r="I49" s="932"/>
      <c r="J49" s="932"/>
      <c r="K49" s="932"/>
      <c r="L49" s="932"/>
      <c r="M49" s="932"/>
      <c r="N49" s="932"/>
      <c r="O49" s="932"/>
      <c r="P49" s="932"/>
      <c r="Q49" s="932"/>
      <c r="R49" s="932"/>
      <c r="S49" s="932"/>
      <c r="T49" s="932"/>
      <c r="U49" s="608"/>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row>
    <row r="50" spans="2:89" s="13" customFormat="1" ht="13.5" customHeight="1" x14ac:dyDescent="0.2">
      <c r="B50" s="606"/>
      <c r="C50" s="932"/>
      <c r="D50" s="932"/>
      <c r="E50" s="932"/>
      <c r="F50" s="932"/>
      <c r="G50" s="932"/>
      <c r="H50" s="932"/>
      <c r="I50" s="932"/>
      <c r="J50" s="932"/>
      <c r="K50" s="932"/>
      <c r="L50" s="932"/>
      <c r="M50" s="932"/>
      <c r="N50" s="932"/>
      <c r="O50" s="932"/>
      <c r="P50" s="932"/>
      <c r="Q50" s="932"/>
      <c r="R50" s="932"/>
      <c r="S50" s="932"/>
      <c r="T50" s="932"/>
      <c r="U50" s="608"/>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row>
    <row r="51" spans="2:89" s="13" customFormat="1" ht="13.5" customHeight="1" x14ac:dyDescent="0.2">
      <c r="B51" s="540"/>
      <c r="C51" s="540"/>
      <c r="D51" s="540"/>
      <c r="E51" s="540"/>
      <c r="F51" s="540"/>
      <c r="G51" s="540"/>
      <c r="H51" s="547"/>
      <c r="I51" s="547"/>
      <c r="J51" s="547"/>
      <c r="K51" s="547"/>
      <c r="L51" s="540"/>
      <c r="M51" s="540"/>
      <c r="N51" s="540"/>
      <c r="O51" s="540"/>
      <c r="P51" s="540"/>
      <c r="Q51" s="540"/>
      <c r="R51" s="540"/>
      <c r="S51" s="540"/>
      <c r="T51" s="540"/>
      <c r="U51" s="54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row>
    <row r="52" spans="2:89" ht="13.5" customHeight="1" x14ac:dyDescent="0.2"/>
    <row r="53" spans="2:89" ht="13.5" customHeight="1" x14ac:dyDescent="0.2">
      <c r="G53" s="4"/>
    </row>
    <row r="54" spans="2:89" ht="42" customHeight="1" x14ac:dyDescent="0.2">
      <c r="C54" s="949" t="s">
        <v>159</v>
      </c>
      <c r="D54" s="949"/>
      <c r="E54" s="949"/>
      <c r="F54" s="949"/>
      <c r="G54" s="949"/>
      <c r="H54" s="949"/>
      <c r="I54" s="949"/>
      <c r="J54" s="949"/>
      <c r="K54" s="949"/>
      <c r="L54" s="949"/>
      <c r="M54" s="949"/>
      <c r="N54" s="949"/>
      <c r="O54" s="949"/>
      <c r="P54" s="949"/>
      <c r="Q54" s="949"/>
      <c r="R54" s="949"/>
      <c r="S54" s="949"/>
      <c r="T54" s="949"/>
      <c r="U54" s="208"/>
      <c r="V54" s="208"/>
    </row>
    <row r="55" spans="2:89" x14ac:dyDescent="0.2">
      <c r="C55" s="242"/>
      <c r="D55" s="242"/>
      <c r="E55" s="242"/>
      <c r="F55" s="947" t="s">
        <v>224</v>
      </c>
      <c r="G55" s="947"/>
      <c r="H55" s="947"/>
      <c r="I55" s="947"/>
      <c r="J55" s="947"/>
      <c r="K55" s="947"/>
      <c r="L55" s="947"/>
      <c r="M55" s="242"/>
      <c r="N55" s="242"/>
      <c r="O55" s="242"/>
      <c r="P55" s="242"/>
      <c r="Q55" s="242"/>
      <c r="R55" s="242"/>
      <c r="S55" s="242"/>
      <c r="T55" s="242"/>
      <c r="U55" s="208"/>
      <c r="V55" s="208"/>
    </row>
    <row r="56" spans="2:89" s="172" customFormat="1" ht="15.75" customHeight="1" x14ac:dyDescent="0.2">
      <c r="C56" s="238"/>
      <c r="D56" s="378"/>
      <c r="E56" s="379"/>
      <c r="F56" s="380"/>
      <c r="G56" s="379"/>
      <c r="H56" s="257"/>
      <c r="J56" s="379"/>
      <c r="K56" s="379"/>
      <c r="L56" s="257"/>
      <c r="M56" s="239"/>
      <c r="O56" s="381"/>
      <c r="P56" s="948"/>
      <c r="Q56" s="948"/>
      <c r="R56" s="948"/>
      <c r="S56" s="948"/>
      <c r="T56" s="948"/>
      <c r="U56" s="480"/>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345"/>
      <c r="AU56" s="345"/>
      <c r="AV56" s="345"/>
      <c r="AW56" s="345"/>
      <c r="AX56" s="345"/>
      <c r="AY56" s="345"/>
      <c r="AZ56" s="345"/>
      <c r="BA56" s="345"/>
      <c r="BB56" s="345"/>
      <c r="BC56" s="345"/>
      <c r="BD56" s="345"/>
      <c r="BE56" s="345"/>
      <c r="BF56" s="345"/>
      <c r="BG56" s="345"/>
      <c r="BH56" s="345"/>
      <c r="BI56" s="345"/>
      <c r="BJ56" s="345"/>
      <c r="BK56" s="345"/>
      <c r="BL56" s="345"/>
      <c r="BM56" s="345"/>
      <c r="BN56" s="345"/>
      <c r="BO56" s="345"/>
      <c r="BP56" s="345"/>
      <c r="BQ56" s="345"/>
      <c r="BR56" s="345"/>
      <c r="BS56" s="345"/>
      <c r="BT56" s="345"/>
      <c r="BU56" s="345"/>
      <c r="BV56" s="345"/>
      <c r="BW56" s="345"/>
      <c r="BX56" s="345"/>
      <c r="BY56" s="345"/>
      <c r="BZ56" s="345"/>
      <c r="CA56" s="345"/>
      <c r="CB56" s="345"/>
      <c r="CC56" s="345"/>
      <c r="CD56" s="345"/>
      <c r="CE56" s="345"/>
      <c r="CF56" s="345"/>
      <c r="CG56" s="345"/>
      <c r="CH56" s="345"/>
      <c r="CI56" s="345"/>
      <c r="CJ56" s="345"/>
      <c r="CK56" s="345"/>
    </row>
    <row r="57" spans="2:89" x14ac:dyDescent="0.2">
      <c r="C57" s="16"/>
      <c r="D57" s="16"/>
      <c r="E57" s="16"/>
      <c r="F57" s="16"/>
      <c r="G57" s="16"/>
      <c r="H57" s="14"/>
      <c r="I57" s="14"/>
      <c r="J57" s="14"/>
      <c r="K57" s="14"/>
      <c r="L57" s="16"/>
      <c r="M57" s="16"/>
      <c r="N57" s="16"/>
      <c r="O57" s="16"/>
      <c r="P57" s="16"/>
      <c r="Q57" s="16"/>
      <c r="R57" s="16"/>
      <c r="S57" s="16"/>
      <c r="T57" s="16"/>
    </row>
    <row r="58" spans="2:89" x14ac:dyDescent="0.2">
      <c r="C58" s="16"/>
      <c r="D58" s="16"/>
      <c r="E58" s="16"/>
      <c r="G58" s="16"/>
      <c r="H58" s="14"/>
      <c r="I58" s="14"/>
      <c r="J58" s="14"/>
      <c r="K58" s="14"/>
      <c r="L58" s="16"/>
      <c r="M58" s="16"/>
      <c r="N58" s="16"/>
      <c r="O58" s="16"/>
      <c r="P58" s="16"/>
      <c r="Q58" s="16"/>
      <c r="R58" s="16"/>
      <c r="S58" s="16"/>
      <c r="T58" s="16"/>
    </row>
    <row r="59" spans="2:89" x14ac:dyDescent="0.2">
      <c r="C59" s="16"/>
      <c r="D59" s="16"/>
      <c r="E59" s="16"/>
      <c r="G59" s="16"/>
      <c r="H59" s="14"/>
      <c r="I59" s="14"/>
      <c r="J59" s="14"/>
      <c r="K59" s="14"/>
      <c r="L59" s="16"/>
      <c r="M59" s="16"/>
      <c r="N59" s="16"/>
      <c r="O59" s="16"/>
      <c r="P59" s="16"/>
      <c r="Q59" s="16"/>
      <c r="R59" s="16"/>
      <c r="S59" s="16"/>
      <c r="T59" s="16"/>
    </row>
    <row r="60" spans="2:89" x14ac:dyDescent="0.2">
      <c r="C60" s="16"/>
      <c r="D60" s="16"/>
      <c r="E60" s="16"/>
      <c r="G60" s="16"/>
      <c r="H60" s="14"/>
      <c r="I60" s="14"/>
      <c r="J60" s="14"/>
      <c r="K60" s="14"/>
      <c r="L60" s="16"/>
      <c r="M60" s="16"/>
      <c r="N60" s="16"/>
      <c r="O60" s="16"/>
      <c r="P60" s="16"/>
      <c r="Q60" s="16"/>
      <c r="R60" s="16"/>
      <c r="S60" s="16"/>
      <c r="T60" s="16"/>
    </row>
    <row r="61" spans="2:89" x14ac:dyDescent="0.2">
      <c r="C61" s="16"/>
      <c r="D61" s="16"/>
      <c r="E61" s="16"/>
      <c r="G61" s="16"/>
      <c r="H61" s="14"/>
      <c r="I61" s="14"/>
      <c r="J61" s="14"/>
      <c r="K61" s="14"/>
      <c r="L61" s="16"/>
      <c r="M61" s="16"/>
      <c r="N61" s="16"/>
      <c r="O61" s="16"/>
      <c r="P61" s="16"/>
      <c r="Q61" s="16"/>
      <c r="R61" s="16"/>
      <c r="S61" s="16"/>
      <c r="T61" s="16"/>
    </row>
    <row r="62" spans="2:89" x14ac:dyDescent="0.2">
      <c r="C62" s="16"/>
      <c r="D62" s="16"/>
      <c r="E62" s="16"/>
      <c r="G62" s="16"/>
      <c r="H62" s="14"/>
      <c r="I62" s="14"/>
      <c r="J62" s="14"/>
      <c r="K62" s="14"/>
      <c r="L62" s="16"/>
      <c r="M62" s="16"/>
      <c r="N62" s="16"/>
      <c r="O62" s="16"/>
      <c r="P62" s="16"/>
      <c r="Q62" s="16"/>
      <c r="R62" s="16"/>
      <c r="S62" s="16"/>
      <c r="T62" s="16"/>
    </row>
    <row r="65" spans="1:89" ht="13.5" customHeight="1" x14ac:dyDescent="0.2"/>
    <row r="66" spans="1:89" s="13" customFormat="1" ht="6.75" customHeight="1" x14ac:dyDescent="0.2">
      <c r="B66" s="207" t="s">
        <v>204</v>
      </c>
      <c r="C66" s="205"/>
      <c r="D66" s="205"/>
      <c r="E66" s="205"/>
      <c r="F66" s="205"/>
      <c r="G66" s="205"/>
      <c r="H66" s="205"/>
      <c r="I66" s="205"/>
      <c r="J66" s="205"/>
      <c r="K66" s="205"/>
      <c r="L66" s="205"/>
      <c r="M66" s="205"/>
      <c r="N66" s="205"/>
      <c r="O66" s="205"/>
      <c r="P66" s="205"/>
      <c r="Q66" s="205"/>
      <c r="R66" s="205"/>
      <c r="S66" s="205"/>
      <c r="T66" s="205"/>
      <c r="U66" s="205"/>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row>
    <row r="67" spans="1:89" s="235" customFormat="1" ht="2.25" customHeight="1" x14ac:dyDescent="0.2">
      <c r="C67" s="358" t="s">
        <v>248</v>
      </c>
      <c r="D67" s="946" t="s">
        <v>249</v>
      </c>
      <c r="E67" s="946"/>
      <c r="F67" s="946"/>
      <c r="G67" s="946"/>
      <c r="H67" s="946"/>
      <c r="I67" s="359" t="s">
        <v>250</v>
      </c>
      <c r="J67" s="360" t="s">
        <v>251</v>
      </c>
      <c r="K67" s="258"/>
      <c r="M67" s="235" t="s">
        <v>252</v>
      </c>
      <c r="P67" s="262" t="s">
        <v>253</v>
      </c>
      <c r="R67" s="262"/>
    </row>
    <row r="68" spans="1:89" ht="21.75" hidden="1" customHeight="1" x14ac:dyDescent="0.2">
      <c r="C68" s="350"/>
      <c r="D68" s="351"/>
      <c r="E68" s="351"/>
      <c r="F68" s="351"/>
      <c r="G68" s="351"/>
      <c r="H68" s="351"/>
      <c r="I68" s="353"/>
      <c r="J68" s="354"/>
      <c r="P68" s="355"/>
      <c r="R68" s="355"/>
    </row>
    <row r="69" spans="1:89" ht="21.75" hidden="1" customHeight="1" x14ac:dyDescent="0.2">
      <c r="C69" s="3"/>
      <c r="M69" s="191" t="s">
        <v>211</v>
      </c>
    </row>
    <row r="70" spans="1:89" ht="21.75" hidden="1" customHeight="1" x14ac:dyDescent="0.2">
      <c r="C70" s="3" t="s">
        <v>205</v>
      </c>
      <c r="M70" t="s">
        <v>212</v>
      </c>
    </row>
    <row r="71" spans="1:89" ht="21.75" hidden="1" customHeight="1" x14ac:dyDescent="0.2">
      <c r="C71" s="939" t="str">
        <f>'JSM Eingabe+TW'!AF91</f>
        <v>Das Ergebnis nach Wetterschlüssel hinterfragen. Es fehlen die Daten von mindestens einem Monat.</v>
      </c>
      <c r="D71" s="939"/>
      <c r="E71" s="939"/>
      <c r="F71" s="113"/>
      <c r="G71" s="136" t="s">
        <v>203</v>
      </c>
      <c r="H71" s="171" t="b">
        <f>IF(C14=" ",IF('JSM Eingabe+TW'!AB64=0,0,'JSM Eingabe+TW'!AB98))</f>
        <v>0</v>
      </c>
      <c r="I71" s="122">
        <f>IF(H71=0,0,H71-H28)</f>
        <v>0</v>
      </c>
      <c r="J71" s="122"/>
      <c r="K71" s="123"/>
      <c r="L71" s="127" t="e">
        <f>IF(H71=0,0,I71/H71)</f>
        <v>#DIV/0!</v>
      </c>
      <c r="M71" s="187">
        <v>0</v>
      </c>
      <c r="N71" s="944"/>
      <c r="O71" s="944"/>
      <c r="P71" s="944"/>
      <c r="Q71" s="944"/>
      <c r="R71" s="944"/>
      <c r="S71" s="944"/>
      <c r="T71" s="944"/>
    </row>
    <row r="72" spans="1:89" ht="21.75" hidden="1" customHeight="1" x14ac:dyDescent="0.2">
      <c r="C72" s="940" t="str">
        <f>IF('JSM Eingabe+TW'!F23=" ","bevorzugtes Ergebnis, da keine automatische Mengenmessung","Wertung nicht erforderlich, da automatische Mengenmessung vorhanden")</f>
        <v>Wertung nicht erforderlich, da automatische Mengenmessung vorhanden</v>
      </c>
      <c r="D72" s="940"/>
      <c r="E72" s="117"/>
      <c r="F72" s="117"/>
      <c r="G72" s="136" t="s">
        <v>210</v>
      </c>
      <c r="H72" s="171">
        <f>IF('JSM Fremdwasser'!E42=" ",0,'JSM Ergebnis'!I112)</f>
        <v>0</v>
      </c>
      <c r="I72" s="122">
        <f>IF(H72=0,0,H72-H28)</f>
        <v>0</v>
      </c>
      <c r="J72" s="125"/>
      <c r="K72" s="126"/>
      <c r="L72" s="124">
        <f>IF(H72=0,0,I72/H72)</f>
        <v>0</v>
      </c>
      <c r="M72" s="187">
        <v>0</v>
      </c>
      <c r="N72" s="944"/>
      <c r="O72" s="944"/>
      <c r="P72" s="944"/>
      <c r="Q72" s="944"/>
      <c r="R72" s="944"/>
      <c r="S72" s="944"/>
      <c r="T72" s="944"/>
    </row>
    <row r="73" spans="1:89" ht="21.75" hidden="1" customHeight="1" x14ac:dyDescent="0.2">
      <c r="C73" s="395"/>
      <c r="D73" s="395"/>
      <c r="L73" s="4" t="s">
        <v>291</v>
      </c>
      <c r="M73" s="394">
        <f>SUM(M15:M21)+M71+M72</f>
        <v>0</v>
      </c>
    </row>
    <row r="74" spans="1:89" s="13" customFormat="1" ht="21.75" hidden="1" customHeight="1" x14ac:dyDescent="0.2">
      <c r="A74" s="192"/>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row>
    <row r="75" spans="1:89" s="13" customFormat="1" ht="1.5" hidden="1" customHeight="1" x14ac:dyDescent="0.2">
      <c r="G75" s="128"/>
      <c r="H75" s="128"/>
      <c r="I75" s="128"/>
      <c r="J75" s="128"/>
      <c r="K75" s="128"/>
      <c r="L75" s="10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row>
    <row r="76" spans="1:89" s="115" customFormat="1" ht="21.75" hidden="1" customHeight="1" x14ac:dyDescent="0.2">
      <c r="B76" s="113"/>
      <c r="C76" s="135" t="s">
        <v>157</v>
      </c>
      <c r="D76" s="120"/>
      <c r="E76" s="120"/>
      <c r="F76" s="120"/>
      <c r="G76" s="250" t="s">
        <v>147</v>
      </c>
      <c r="H76" s="125">
        <f>IF(C14=" ",IF(H15=0,0,'JSM GM A198'!F53),0)</f>
        <v>0</v>
      </c>
      <c r="I76" s="125">
        <f>IF(H76=0,0,'JSM GM A198'!M53)</f>
        <v>0</v>
      </c>
      <c r="J76" s="125"/>
      <c r="K76" s="126"/>
      <c r="L76" s="124">
        <f>IF(H76=0,0,I76/H76)</f>
        <v>0</v>
      </c>
      <c r="M76" s="134"/>
      <c r="N76" s="251"/>
      <c r="O76" s="251"/>
      <c r="P76" s="251"/>
      <c r="Q76" s="251"/>
      <c r="R76" s="251"/>
      <c r="S76" s="251"/>
      <c r="T76" s="251"/>
      <c r="U76" s="251"/>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c r="CD76" s="346"/>
      <c r="CE76" s="346"/>
      <c r="CF76" s="346"/>
      <c r="CG76" s="346"/>
      <c r="CH76" s="346"/>
      <c r="CI76" s="346"/>
      <c r="CJ76" s="346"/>
      <c r="CK76" s="346"/>
    </row>
    <row r="77" spans="1:89" s="13" customFormat="1" ht="21.75" hidden="1" customHeight="1" x14ac:dyDescent="0.2">
      <c r="F77" s="129"/>
      <c r="H77" s="131"/>
      <c r="I77" s="131"/>
      <c r="J77" s="131"/>
      <c r="K77" s="132"/>
      <c r="L77" s="133"/>
      <c r="M77" s="130"/>
      <c r="N77" s="91"/>
      <c r="O77" s="91"/>
      <c r="P77" s="91"/>
      <c r="Q77" s="91"/>
      <c r="R77" s="91"/>
      <c r="S77" s="91"/>
      <c r="T77" s="91"/>
      <c r="U77" s="91"/>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row>
    <row r="78" spans="1:89" s="13" customFormat="1" ht="21.75" hidden="1" customHeight="1" x14ac:dyDescent="0.2">
      <c r="A78" s="192"/>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row>
    <row r="79" spans="1:89" s="13" customFormat="1" ht="21.75" hidden="1" customHeight="1" x14ac:dyDescent="0.2">
      <c r="A79" s="192"/>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row>
    <row r="80" spans="1:89" s="13" customFormat="1" ht="21.75" hidden="1" customHeight="1" x14ac:dyDescent="0.2">
      <c r="D80" s="128" t="s">
        <v>167</v>
      </c>
      <c r="H80" s="25"/>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row>
    <row r="81" spans="4:89" s="13" customFormat="1" ht="21.75" hidden="1" customHeight="1" x14ac:dyDescent="0.2">
      <c r="D81" s="193" t="s">
        <v>168</v>
      </c>
      <c r="H81" s="25"/>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row>
    <row r="82" spans="4:89" s="13" customFormat="1" ht="21.75" hidden="1" customHeight="1" x14ac:dyDescent="0.2">
      <c r="D82" s="194" t="s">
        <v>169</v>
      </c>
      <c r="H82" s="25"/>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row>
    <row r="83" spans="4:89" s="13" customFormat="1" ht="21.75" hidden="1" customHeight="1" x14ac:dyDescent="0.2">
      <c r="D83" s="178" t="s">
        <v>170</v>
      </c>
      <c r="E83" s="195" t="s">
        <v>171</v>
      </c>
      <c r="H83" s="25"/>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row>
    <row r="84" spans="4:89" s="13" customFormat="1" ht="21.75" hidden="1" customHeight="1" x14ac:dyDescent="0.2">
      <c r="D84" s="178"/>
      <c r="G84" s="38" t="s">
        <v>172</v>
      </c>
      <c r="H84" s="25" t="s">
        <v>173</v>
      </c>
      <c r="I84" s="25">
        <v>120</v>
      </c>
      <c r="J84" s="13" t="s">
        <v>174</v>
      </c>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row>
    <row r="85" spans="4:89" s="13" customFormat="1" ht="21.75" hidden="1" customHeight="1" x14ac:dyDescent="0.2">
      <c r="D85" s="178"/>
      <c r="G85" s="38" t="s">
        <v>175</v>
      </c>
      <c r="H85" s="25" t="s">
        <v>173</v>
      </c>
      <c r="I85" s="25">
        <v>150</v>
      </c>
      <c r="J85" s="13" t="s">
        <v>176</v>
      </c>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row>
    <row r="86" spans="4:89" s="13" customFormat="1" ht="21.75" hidden="1" customHeight="1" x14ac:dyDescent="0.2">
      <c r="D86" s="178"/>
      <c r="G86" s="38" t="s">
        <v>178</v>
      </c>
      <c r="H86" s="25" t="s">
        <v>173</v>
      </c>
      <c r="I86" s="30">
        <f>I84/I85*1000</f>
        <v>800</v>
      </c>
      <c r="J86" s="13" t="s">
        <v>179</v>
      </c>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row>
    <row r="87" spans="4:89" s="13" customFormat="1" ht="21.75" hidden="1" customHeight="1" x14ac:dyDescent="0.2">
      <c r="D87" s="178"/>
      <c r="F87" s="38"/>
      <c r="G87" s="25"/>
      <c r="H87" s="25"/>
      <c r="I87" s="25"/>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row>
    <row r="88" spans="4:89" s="13" customFormat="1" ht="21.75" hidden="1" customHeight="1" x14ac:dyDescent="0.2">
      <c r="D88" s="952" t="s">
        <v>181</v>
      </c>
      <c r="E88" s="952"/>
      <c r="F88" s="952"/>
      <c r="G88" s="952"/>
      <c r="H88" s="25"/>
      <c r="I88" s="25"/>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row>
    <row r="89" spans="4:89" s="13" customFormat="1" ht="21.75" hidden="1" customHeight="1" x14ac:dyDescent="0.2">
      <c r="D89" s="952"/>
      <c r="E89" s="952"/>
      <c r="F89" s="952"/>
      <c r="G89" s="952"/>
      <c r="H89" s="25"/>
      <c r="I89" s="25"/>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s="60"/>
    </row>
    <row r="90" spans="4:89" s="13" customFormat="1" ht="21.75" hidden="1" customHeight="1" x14ac:dyDescent="0.2">
      <c r="D90" s="952"/>
      <c r="E90" s="952"/>
      <c r="F90" s="952"/>
      <c r="G90" s="952"/>
      <c r="H90" s="25" t="s">
        <v>173</v>
      </c>
      <c r="I90" s="30">
        <v>775</v>
      </c>
      <c r="J90" s="13" t="s">
        <v>179</v>
      </c>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s="60"/>
    </row>
    <row r="91" spans="4:89" s="13" customFormat="1" ht="21.75" hidden="1" customHeight="1" x14ac:dyDescent="0.2">
      <c r="D91" s="178"/>
      <c r="H91" s="25"/>
      <c r="I91" s="25"/>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s="60"/>
    </row>
    <row r="92" spans="4:89" s="13" customFormat="1" ht="21.75" hidden="1" customHeight="1" x14ac:dyDescent="0.2">
      <c r="D92" s="23"/>
      <c r="H92" s="25"/>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row>
    <row r="93" spans="4:89" s="13" customFormat="1" ht="17.25" hidden="1" customHeight="1" x14ac:dyDescent="0.2">
      <c r="D93" s="178" t="s">
        <v>170</v>
      </c>
      <c r="E93" s="195" t="s">
        <v>182</v>
      </c>
      <c r="H93" s="25" t="s">
        <v>183</v>
      </c>
      <c r="J93" s="25" t="s">
        <v>184</v>
      </c>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row>
    <row r="94" spans="4:89" s="13" customFormat="1" ht="21.75" hidden="1" customHeight="1" x14ac:dyDescent="0.2">
      <c r="D94" s="23"/>
      <c r="E94" s="195"/>
      <c r="H94" s="25">
        <f>'JSM Eingabe+TW'!K12</f>
        <v>0</v>
      </c>
      <c r="I94" s="669" t="s">
        <v>34</v>
      </c>
      <c r="J94" s="919">
        <v>1</v>
      </c>
      <c r="K94" s="919"/>
      <c r="L94" s="669" t="s">
        <v>34</v>
      </c>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row>
    <row r="95" spans="4:89" s="13" customFormat="1" ht="21.75" hidden="1" customHeight="1" x14ac:dyDescent="0.2">
      <c r="D95" s="23"/>
      <c r="F95" s="178" t="s">
        <v>185</v>
      </c>
      <c r="G95" s="25" t="s">
        <v>173</v>
      </c>
      <c r="H95" s="363">
        <f>IF('JSM Eingabe+TW'!K12=0,0,'JSM Eingabe+TW'!S18/'JSM Eingabe+TW'!K12)</f>
        <v>0</v>
      </c>
      <c r="I95" s="179" t="s">
        <v>186</v>
      </c>
      <c r="J95" s="953">
        <f>IF(J94=0,0,'JSM Eingabe+TW'!S18/J94)</f>
        <v>0</v>
      </c>
      <c r="K95" s="953"/>
      <c r="L95" s="179" t="s">
        <v>187</v>
      </c>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row>
    <row r="96" spans="4:89" s="13" customFormat="1" ht="21.75" hidden="1" customHeight="1" x14ac:dyDescent="0.2">
      <c r="D96" s="23"/>
      <c r="F96" s="38" t="s">
        <v>188</v>
      </c>
      <c r="G96" s="25" t="s">
        <v>173</v>
      </c>
      <c r="H96" s="51">
        <f>H95*1000/365</f>
        <v>0</v>
      </c>
      <c r="I96" s="13" t="s">
        <v>176</v>
      </c>
      <c r="J96" s="918">
        <f>J95*1000/365</f>
        <v>0</v>
      </c>
      <c r="K96" s="918"/>
      <c r="L96" s="13" t="s">
        <v>176</v>
      </c>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row>
    <row r="97" spans="3:89" s="13" customFormat="1" ht="21.75" hidden="1" customHeight="1" x14ac:dyDescent="0.2">
      <c r="D97" s="23"/>
      <c r="F97" s="38" t="s">
        <v>189</v>
      </c>
      <c r="G97" s="25" t="s">
        <v>173</v>
      </c>
      <c r="H97" s="233">
        <f>I84</f>
        <v>120</v>
      </c>
      <c r="I97" s="13" t="s">
        <v>174</v>
      </c>
      <c r="J97" s="945">
        <v>100</v>
      </c>
      <c r="K97" s="945"/>
      <c r="L97" s="13" t="s">
        <v>174</v>
      </c>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s="60"/>
    </row>
    <row r="98" spans="3:89" s="13" customFormat="1" ht="21.75" hidden="1" customHeight="1" x14ac:dyDescent="0.2">
      <c r="D98" s="23"/>
      <c r="F98" s="38" t="s">
        <v>190</v>
      </c>
      <c r="G98" s="25" t="s">
        <v>173</v>
      </c>
      <c r="H98" s="98">
        <f>IF(H96=0,0,H97/H96*1000)</f>
        <v>0</v>
      </c>
      <c r="I98" s="13" t="s">
        <v>179</v>
      </c>
      <c r="J98" s="951">
        <f>IF(J96=0,0,J97/J96*1000)</f>
        <v>0</v>
      </c>
      <c r="K98" s="951"/>
      <c r="L98" s="13" t="s">
        <v>179</v>
      </c>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row>
    <row r="99" spans="3:89" s="13" customFormat="1" ht="21.75" hidden="1" customHeight="1" x14ac:dyDescent="0.2">
      <c r="D99" s="23"/>
      <c r="E99" s="950"/>
      <c r="F99" s="950"/>
      <c r="G99" s="950"/>
      <c r="H99" s="98"/>
      <c r="J99" s="98"/>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row>
    <row r="100" spans="3:89" s="13" customFormat="1" ht="21.75" hidden="1" customHeight="1" x14ac:dyDescent="0.2">
      <c r="D100" s="23"/>
      <c r="E100" s="197"/>
      <c r="F100" s="197"/>
      <c r="G100" s="197"/>
      <c r="H100" s="98"/>
      <c r="I100" s="77"/>
      <c r="J100" s="98"/>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row>
    <row r="101" spans="3:89" s="13" customFormat="1" ht="21.75" hidden="1" customHeight="1" x14ac:dyDescent="0.2">
      <c r="D101" s="195" t="s">
        <v>192</v>
      </c>
      <c r="H101" s="25"/>
      <c r="L101" s="203" t="s">
        <v>226</v>
      </c>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row>
    <row r="102" spans="3:89" s="13" customFormat="1" ht="21.75" hidden="1" customHeight="1" x14ac:dyDescent="0.2">
      <c r="D102" s="23"/>
      <c r="H102" s="25"/>
      <c r="O102" s="204" t="s">
        <v>177</v>
      </c>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s="60"/>
    </row>
    <row r="103" spans="3:89" s="13" customFormat="1" ht="21.75" hidden="1" customHeight="1" x14ac:dyDescent="0.2">
      <c r="D103" s="23"/>
      <c r="F103" s="38" t="s">
        <v>193</v>
      </c>
      <c r="G103" s="25" t="s">
        <v>173</v>
      </c>
      <c r="H103" s="25"/>
      <c r="I103" s="189">
        <f>(H98+J98)/2</f>
        <v>0</v>
      </c>
      <c r="J103" s="13" t="s">
        <v>179</v>
      </c>
      <c r="O103" s="204" t="s">
        <v>180</v>
      </c>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s="60"/>
    </row>
    <row r="104" spans="3:89" s="13" customFormat="1" ht="21.75" hidden="1" customHeight="1" x14ac:dyDescent="0.2">
      <c r="D104" s="23"/>
      <c r="F104" s="38" t="s">
        <v>225</v>
      </c>
      <c r="G104" s="25" t="s">
        <v>173</v>
      </c>
      <c r="H104" s="25"/>
      <c r="O104" s="177">
        <v>350</v>
      </c>
      <c r="P104" s="49"/>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s="60"/>
    </row>
    <row r="105" spans="3:89" s="13" customFormat="1" ht="21.75" hidden="1" customHeight="1" x14ac:dyDescent="0.2">
      <c r="D105" s="23"/>
      <c r="F105" s="38"/>
      <c r="G105" s="25"/>
      <c r="H105" s="275" t="s">
        <v>270</v>
      </c>
      <c r="I105" s="25"/>
      <c r="O105" s="177">
        <v>311</v>
      </c>
      <c r="P105" s="49"/>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s="60"/>
    </row>
    <row r="106" spans="3:89" s="13" customFormat="1" ht="21.75" hidden="1" customHeight="1" x14ac:dyDescent="0.2">
      <c r="D106" s="23"/>
      <c r="F106" s="38" t="s">
        <v>194</v>
      </c>
      <c r="G106" s="25" t="s">
        <v>173</v>
      </c>
      <c r="H106" s="25" t="str">
        <f>'JSM Fremdwasser'!O43</f>
        <v xml:space="preserve"> </v>
      </c>
      <c r="I106" s="190" t="str">
        <f>H106</f>
        <v xml:space="preserve"> </v>
      </c>
      <c r="J106" s="13" t="s">
        <v>179</v>
      </c>
      <c r="O106" s="177">
        <v>482</v>
      </c>
      <c r="P106" s="49"/>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s="60"/>
    </row>
    <row r="107" spans="3:89" s="13" customFormat="1" ht="21.75" hidden="1" customHeight="1" x14ac:dyDescent="0.2">
      <c r="D107" s="23"/>
      <c r="F107" s="38" t="s">
        <v>195</v>
      </c>
      <c r="G107" s="25" t="s">
        <v>173</v>
      </c>
      <c r="H107" s="25"/>
      <c r="I107" s="78">
        <f>IF(I103=0,0,100-I106*100/I103)</f>
        <v>0</v>
      </c>
      <c r="J107" s="13" t="s">
        <v>58</v>
      </c>
      <c r="O107" s="177">
        <v>384</v>
      </c>
      <c r="P107" s="49"/>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s="60"/>
    </row>
    <row r="108" spans="3:89" s="13" customFormat="1" ht="21.75" hidden="1" customHeight="1" x14ac:dyDescent="0.2">
      <c r="D108" s="23"/>
      <c r="F108" s="38"/>
      <c r="H108" s="25"/>
      <c r="I108" s="25"/>
      <c r="O108" s="177">
        <v>588</v>
      </c>
      <c r="P108" s="49"/>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s="60"/>
    </row>
    <row r="109" spans="3:89" s="13" customFormat="1" ht="21.75" hidden="1" customHeight="1" x14ac:dyDescent="0.2">
      <c r="D109" s="23"/>
      <c r="F109" s="178" t="s">
        <v>104</v>
      </c>
      <c r="G109" s="25" t="s">
        <v>173</v>
      </c>
      <c r="H109" s="25"/>
      <c r="I109" s="116">
        <f>'JSM Eingabe+TW'!S18</f>
        <v>0</v>
      </c>
      <c r="J109" s="13" t="s">
        <v>196</v>
      </c>
      <c r="O109" s="177">
        <v>471</v>
      </c>
      <c r="P109" s="49"/>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s="60"/>
    </row>
    <row r="110" spans="3:89" s="13" customFormat="1" ht="21.75" hidden="1" customHeight="1" x14ac:dyDescent="0.2">
      <c r="D110" s="23"/>
      <c r="F110" s="38" t="s">
        <v>197</v>
      </c>
      <c r="G110" s="25" t="s">
        <v>173</v>
      </c>
      <c r="H110" s="25"/>
      <c r="I110" s="116">
        <f>IF(I106=0," ",I112-I109)</f>
        <v>0</v>
      </c>
      <c r="J110" s="13" t="s">
        <v>196</v>
      </c>
      <c r="O110" s="177">
        <v>556</v>
      </c>
      <c r="P110" s="49"/>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s="60"/>
    </row>
    <row r="111" spans="3:89" s="13" customFormat="1" ht="21.75" hidden="1" customHeight="1" x14ac:dyDescent="0.2">
      <c r="D111" s="23"/>
      <c r="F111" s="38"/>
      <c r="G111" s="25"/>
      <c r="H111" s="25"/>
      <c r="I111" s="116"/>
      <c r="O111" s="177">
        <v>399</v>
      </c>
      <c r="P111" s="49"/>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row>
    <row r="112" spans="3:89" s="13" customFormat="1" ht="21.75" hidden="1" customHeight="1" thickBot="1" x14ac:dyDescent="0.25">
      <c r="C112" s="129"/>
      <c r="D112" s="199"/>
      <c r="E112" s="129"/>
      <c r="F112" s="200" t="s">
        <v>2</v>
      </c>
      <c r="G112" s="201" t="s">
        <v>173</v>
      </c>
      <c r="H112" s="201"/>
      <c r="I112" s="202">
        <f>IF(I106=0," ",100*I109/(100-I107))</f>
        <v>0</v>
      </c>
      <c r="J112" s="942" t="s">
        <v>196</v>
      </c>
      <c r="K112" s="943"/>
      <c r="N112" s="196"/>
      <c r="O112" s="177">
        <v>543</v>
      </c>
      <c r="P112" s="49"/>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row>
    <row r="113" spans="1:89" s="13" customFormat="1" ht="21.75" hidden="1" customHeight="1" x14ac:dyDescent="0.2">
      <c r="D113" s="23"/>
      <c r="H113" s="25"/>
      <c r="O113" s="177">
        <v>618</v>
      </c>
      <c r="P113" s="49"/>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s="60"/>
    </row>
    <row r="114" spans="1:89" s="13" customFormat="1" ht="21.75" hidden="1" customHeight="1" x14ac:dyDescent="0.2">
      <c r="D114" s="23"/>
      <c r="F114" s="38" t="s">
        <v>198</v>
      </c>
      <c r="G114" s="25" t="s">
        <v>170</v>
      </c>
      <c r="H114" s="13" t="s">
        <v>199</v>
      </c>
      <c r="O114" s="177">
        <v>635</v>
      </c>
      <c r="P114" s="49"/>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s="60"/>
    </row>
    <row r="115" spans="1:89" s="13" customFormat="1" ht="21.75" hidden="1" customHeight="1" x14ac:dyDescent="0.2">
      <c r="D115" s="23"/>
      <c r="G115" s="25" t="s">
        <v>170</v>
      </c>
      <c r="H115" s="13" t="s">
        <v>200</v>
      </c>
      <c r="O115" s="180">
        <v>600</v>
      </c>
      <c r="P115" s="49"/>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s="60"/>
    </row>
    <row r="116" spans="1:89" s="13" customFormat="1" ht="21.75" hidden="1" customHeight="1" x14ac:dyDescent="0.2">
      <c r="O116" s="77">
        <f>SUM(O104:O115)</f>
        <v>5937</v>
      </c>
      <c r="P116" s="49"/>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s="60"/>
    </row>
    <row r="117" spans="1:89" ht="21.75" hidden="1" customHeight="1" x14ac:dyDescent="0.2">
      <c r="F117" s="38" t="s">
        <v>59</v>
      </c>
      <c r="G117" s="941"/>
      <c r="H117" s="941"/>
      <c r="I117" s="941"/>
      <c r="J117" s="941"/>
      <c r="K117" s="188"/>
      <c r="L117" s="13"/>
      <c r="N117" s="274" t="s">
        <v>191</v>
      </c>
      <c r="O117" s="198">
        <f>O116/12</f>
        <v>494.75</v>
      </c>
      <c r="P117" s="49" t="s">
        <v>179</v>
      </c>
    </row>
    <row r="118" spans="1:89" ht="21.75" hidden="1" customHeight="1" x14ac:dyDescent="0.2"/>
    <row r="119" spans="1:89" ht="4.5" customHeight="1" x14ac:dyDescent="0.2">
      <c r="A119" s="13"/>
      <c r="B119" s="207" t="s">
        <v>297</v>
      </c>
      <c r="C119" s="206" t="s">
        <v>206</v>
      </c>
      <c r="D119" s="206"/>
      <c r="E119" s="206"/>
      <c r="F119" s="206"/>
      <c r="G119" s="206"/>
      <c r="H119" s="206"/>
      <c r="I119" s="206"/>
      <c r="J119" s="206"/>
      <c r="K119" s="206"/>
      <c r="L119" s="206"/>
      <c r="M119" s="206"/>
      <c r="N119" s="206"/>
      <c r="O119" s="206"/>
      <c r="P119" s="206"/>
      <c r="Q119" s="206"/>
      <c r="R119" s="206"/>
      <c r="S119" s="206"/>
      <c r="T119" s="206"/>
      <c r="U119" s="209" t="s">
        <v>2</v>
      </c>
    </row>
    <row r="120" spans="1:89" ht="9.75" customHeight="1" x14ac:dyDescent="0.2"/>
  </sheetData>
  <sheetProtection algorithmName="SHA-512" hashValue="WlEeWVvUnkB7Y/EXJ4gWgK9dPRr8g9DZrsGNKGoArmuE81e9sb0mTf4CyX5w+uQnJqf0lZp9liPMz8fi9HDDIQ==" saltValue="8kE/aWWnsJrletacWiOPZQ==" spinCount="100000" sheet="1" objects="1" scenarios="1"/>
  <mergeCells count="38">
    <mergeCell ref="C71:E71"/>
    <mergeCell ref="C49:T50"/>
    <mergeCell ref="C72:D72"/>
    <mergeCell ref="G117:J117"/>
    <mergeCell ref="J112:K112"/>
    <mergeCell ref="N72:T72"/>
    <mergeCell ref="J97:K97"/>
    <mergeCell ref="D67:H67"/>
    <mergeCell ref="F55:L55"/>
    <mergeCell ref="P56:T56"/>
    <mergeCell ref="C54:T54"/>
    <mergeCell ref="E99:G99"/>
    <mergeCell ref="J98:K98"/>
    <mergeCell ref="D88:G90"/>
    <mergeCell ref="N71:T71"/>
    <mergeCell ref="J95:K95"/>
    <mergeCell ref="F7:H7"/>
    <mergeCell ref="I35:K35"/>
    <mergeCell ref="C39:T40"/>
    <mergeCell ref="C16:E16"/>
    <mergeCell ref="C19:E19"/>
    <mergeCell ref="C15:F15"/>
    <mergeCell ref="J7:Q7"/>
    <mergeCell ref="M13:M14"/>
    <mergeCell ref="N13:O13"/>
    <mergeCell ref="I13:L13"/>
    <mergeCell ref="M32:U32"/>
    <mergeCell ref="J96:K96"/>
    <mergeCell ref="J94:K94"/>
    <mergeCell ref="T2:U2"/>
    <mergeCell ref="J47:L47"/>
    <mergeCell ref="J45:L45"/>
    <mergeCell ref="S45:T45"/>
    <mergeCell ref="J46:L46"/>
    <mergeCell ref="S46:T46"/>
    <mergeCell ref="J43:L43"/>
    <mergeCell ref="J44:L44"/>
    <mergeCell ref="J48:L48"/>
  </mergeCells>
  <phoneticPr fontId="0" type="noConversion"/>
  <hyperlinks>
    <hyperlink ref="D67" r:id="rId1"/>
  </hyperlinks>
  <printOptions horizontalCentered="1" verticalCentered="1"/>
  <pageMargins left="0.43307086614173229" right="0.45" top="0.79" bottom="0.56999999999999995" header="0.64" footer="0.23622047244094491"/>
  <pageSetup paperSize="9" scale="67" orientation="landscape" r:id="rId2"/>
  <headerFooter alignWithMargins="0">
    <oddHeader xml:space="preserve">&amp;R </oddHeader>
    <oddFooter>&amp;L&amp;F&amp;C&amp;A&amp;R&amp;D</oddFooter>
  </headerFooter>
  <ignoredErrors>
    <ignoredError sqref="L18 L20" formula="1"/>
    <ignoredError sqref="J7 F7 M19:M21 M15:N15 C35 M16:N16 N18:N20 J46 N21 M17:M18 H32" unlockedFormula="1"/>
    <ignoredError sqref="N17" formula="1"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JSM Qd aus Monatspalte</vt:lpstr>
      <vt:lpstr>JSM Eingabe+TW</vt:lpstr>
      <vt:lpstr>JSM Dichtemittel </vt:lpstr>
      <vt:lpstr>JSM GM A198</vt:lpstr>
      <vt:lpstr>JSM Jahresdauerlinie</vt:lpstr>
      <vt:lpstr>JSM FW Dreieck</vt:lpstr>
      <vt:lpstr>JSM Fremdwasser</vt:lpstr>
      <vt:lpstr>JSM Ergebnis</vt:lpstr>
      <vt:lpstr>'JSM Dichtemittel '!Druckbereich</vt:lpstr>
      <vt:lpstr>'JSM Eingabe+TW'!Druckbereich</vt:lpstr>
      <vt:lpstr>'JSM Ergebnis'!Druckbereich</vt:lpstr>
      <vt:lpstr>'JSM Fremdwasser'!Druckbereich</vt:lpstr>
      <vt:lpstr>'JSM FW Dreieck'!Druckbereich</vt:lpstr>
      <vt:lpstr>'JSM GM A198'!Druckbereich</vt:lpstr>
      <vt:lpstr>'JSM Jahresdauerlinie'!Druckbereich</vt:lpstr>
      <vt:lpstr>'JSM Qd aus Monatspalte'!Druckbereich</vt:lpstr>
      <vt:lpstr>'JSM Qd aus Monatspalte'!Drucktitel</vt:lpstr>
      <vt:lpstr>q</vt:lpstr>
      <vt:lpstr>q__gewählt</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JSM- und Qf-Ermittlung</dc:title>
  <dc:subject>JSM- und Qf-Ermittlung</dc:subject>
  <dc:creator>Reddin, Bernhard</dc:creator>
  <dc:description>Version 7.4.0 SGD-N.</dc:description>
  <cp:lastModifiedBy>Angerbauer, Frank</cp:lastModifiedBy>
  <cp:lastPrinted>2025-01-23T14:03:22Z</cp:lastPrinted>
  <dcterms:created xsi:type="dcterms:W3CDTF">1999-12-17T09:38:08Z</dcterms:created>
  <dcterms:modified xsi:type="dcterms:W3CDTF">2025-01-27T08:15:08Z</dcterms:modified>
  <cp:version>7.4.0</cp:version>
</cp:coreProperties>
</file>